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codeName="ThisWorkbook"/>
  <mc:AlternateContent xmlns:mc="http://schemas.openxmlformats.org/markup-compatibility/2006">
    <mc:Choice Requires="x15">
      <x15ac:absPath xmlns:x15ac="http://schemas.microsoft.com/office/spreadsheetml/2010/11/ac" url="https://faftt-my.sharepoint.com/personal/aponsaud_faftt_fr/Documents/AKTO/"/>
    </mc:Choice>
  </mc:AlternateContent>
  <xr:revisionPtr revIDLastSave="0" documentId="8_{E18CD77B-C93E-4514-88E0-E8E5BD181EFE}" xr6:coauthVersionLast="47" xr6:coauthVersionMax="47" xr10:uidLastSave="{00000000-0000-0000-0000-000000000000}"/>
  <workbookProtection workbookAlgorithmName="SHA-512" workbookHashValue="2taFmkLtwBflvKjzQcM7Dwzw3WEUbqHCmEQG98y5gwCQA0mF1A+PIJ11P6aEoDmByDmffFtotCepUB3KHF2yig==" workbookSaltValue="+4bQoh06wFuMemvdWGcAeA==" workbookSpinCount="100000" lockStructure="1"/>
  <bookViews>
    <workbookView xWindow="-120" yWindow="-120" windowWidth="19440" windowHeight="15000" tabRatio="643" xr2:uid="{00000000-000D-0000-FFFF-FFFF00000000}"/>
  </bookViews>
  <sheets>
    <sheet name="Simulateur Contrat de pro" sheetId="5" r:id="rId1"/>
    <sheet name="Calculateur de durée" sheetId="8" state="hidden" r:id="rId2"/>
    <sheet name="iNFOS" sheetId="7" state="hidden" r:id="rId3"/>
    <sheet name="Feuil1" sheetId="6" state="hidden" r:id="rId4"/>
    <sheet name="-" sheetId="2" state="hidden" r:id="rId5"/>
  </sheets>
  <definedNames>
    <definedName name="_xlnm.Print_Area" localSheetId="0">'Simulateur Contrat de pro'!$A$2:$I$111</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1" i="5" l="1"/>
  <c r="I29" i="5"/>
  <c r="I28" i="5"/>
  <c r="B21" i="5"/>
  <c r="F66" i="5"/>
  <c r="B39" i="5"/>
  <c r="B40" i="5"/>
  <c r="C13" i="5" l="1"/>
  <c r="C41" i="5" l="1"/>
  <c r="D23" i="5" l="1"/>
  <c r="I7" i="5" s="1"/>
  <c r="E7" i="5" s="1"/>
  <c r="D21" i="5" l="1"/>
  <c r="E21" i="5" l="1"/>
  <c r="C19" i="5"/>
  <c r="D40" i="5"/>
  <c r="E40" i="5" s="1"/>
  <c r="F40" i="5" s="1"/>
  <c r="C40" i="5" l="1"/>
  <c r="M67" i="8" l="1"/>
  <c r="M66" i="8"/>
  <c r="M65" i="8"/>
  <c r="M64" i="8"/>
  <c r="M63" i="8"/>
  <c r="M62" i="8"/>
  <c r="M61" i="8"/>
  <c r="M60" i="8"/>
  <c r="M59" i="8"/>
  <c r="M58" i="8"/>
  <c r="M57" i="8"/>
  <c r="M56" i="8"/>
  <c r="M55" i="8"/>
  <c r="M54" i="8"/>
  <c r="M53" i="8"/>
  <c r="M52" i="8"/>
  <c r="M51" i="8"/>
  <c r="M50" i="8"/>
  <c r="M49" i="8"/>
  <c r="M48" i="8"/>
  <c r="M47" i="8"/>
  <c r="M46" i="8"/>
  <c r="M45" i="8"/>
  <c r="M44" i="8"/>
  <c r="M43" i="8"/>
  <c r="M42" i="8"/>
  <c r="M41" i="8"/>
  <c r="M40" i="8"/>
  <c r="M39" i="8"/>
  <c r="M38" i="8"/>
  <c r="C21" i="8"/>
  <c r="C17" i="8"/>
  <c r="M5" i="8"/>
  <c r="O34" i="8" s="1"/>
  <c r="F4" i="8"/>
  <c r="C3" i="8"/>
  <c r="E3" i="8" s="1"/>
  <c r="O38" i="8" l="1"/>
  <c r="O54" i="8"/>
  <c r="O27" i="8"/>
  <c r="O46" i="8"/>
  <c r="O62" i="8"/>
  <c r="O20" i="8"/>
  <c r="O31" i="8"/>
  <c r="O44" i="8"/>
  <c r="O52" i="8"/>
  <c r="O60" i="8"/>
  <c r="O9" i="8"/>
  <c r="O35" i="8"/>
  <c r="O42" i="8"/>
  <c r="O50" i="8"/>
  <c r="O58" i="8"/>
  <c r="O66" i="8"/>
  <c r="O13" i="8"/>
  <c r="O23" i="8"/>
  <c r="O40" i="8"/>
  <c r="O48" i="8"/>
  <c r="O56" i="8"/>
  <c r="O64" i="8"/>
  <c r="O10" i="8"/>
  <c r="O14" i="8"/>
  <c r="O17" i="8"/>
  <c r="O24" i="8"/>
  <c r="O28" i="8"/>
  <c r="O32" i="8"/>
  <c r="O36" i="8"/>
  <c r="O7" i="8"/>
  <c r="O11" i="8"/>
  <c r="O15" i="8"/>
  <c r="O18" i="8"/>
  <c r="O21" i="8"/>
  <c r="O25" i="8"/>
  <c r="O29" i="8"/>
  <c r="O33" i="8"/>
  <c r="O37" i="8"/>
  <c r="O39" i="8"/>
  <c r="O41" i="8"/>
  <c r="O43" i="8"/>
  <c r="O45" i="8"/>
  <c r="O47" i="8"/>
  <c r="O49" i="8"/>
  <c r="O51" i="8"/>
  <c r="O53" i="8"/>
  <c r="O55" i="8"/>
  <c r="O57" i="8"/>
  <c r="O59" i="8"/>
  <c r="O61" i="8"/>
  <c r="O63" i="8"/>
  <c r="O65" i="8"/>
  <c r="O67" i="8"/>
  <c r="O8" i="8"/>
  <c r="O12" i="8"/>
  <c r="O16" i="8"/>
  <c r="O19" i="8"/>
  <c r="O22" i="8"/>
  <c r="O26" i="8"/>
  <c r="O30" i="8"/>
  <c r="B38" i="5"/>
  <c r="O68" i="8" l="1"/>
  <c r="D3" i="8" s="1"/>
  <c r="D24" i="5"/>
  <c r="D4" i="8" l="1"/>
  <c r="G3" i="8"/>
  <c r="G30" i="5"/>
  <c r="I3" i="8" l="1"/>
  <c r="J3" i="8"/>
  <c r="H3" i="8"/>
  <c r="B52" i="5"/>
  <c r="F52" i="5" s="1"/>
  <c r="D30" i="5" l="1"/>
  <c r="D31" i="5" s="1"/>
  <c r="E52" i="5"/>
  <c r="E49" i="5"/>
  <c r="E51" i="5"/>
  <c r="E50" i="5"/>
  <c r="B60" i="5" l="1"/>
  <c r="G31" i="5" l="1"/>
  <c r="F50" i="5"/>
  <c r="I27" i="5"/>
  <c r="I26" i="5" l="1"/>
  <c r="F49" i="5"/>
  <c r="H24" i="5"/>
  <c r="F9" i="5"/>
  <c r="G9" i="5" s="1"/>
  <c r="E9" i="5"/>
  <c r="I9" i="5" s="1"/>
  <c r="H14" i="5" l="1"/>
  <c r="F15" i="5"/>
  <c r="G15" i="5" s="1"/>
  <c r="H15" i="5" s="1"/>
  <c r="I15" i="5" s="1"/>
  <c r="B68" i="5"/>
  <c r="E73" i="5" l="1"/>
  <c r="G3" i="6" l="1"/>
  <c r="G2" i="6"/>
  <c r="G1" i="6"/>
  <c r="D6" i="6" l="1"/>
  <c r="E12" i="6"/>
  <c r="D12" i="6"/>
  <c r="C12" i="6"/>
  <c r="C6" i="6"/>
  <c r="F6" i="6" s="1"/>
  <c r="G12" i="6" l="1"/>
  <c r="D10" i="6" s="1"/>
  <c r="B37" i="5"/>
  <c r="D71" i="5" l="1"/>
  <c r="B71" i="5" s="1"/>
  <c r="G77" i="5"/>
  <c r="G96" i="5"/>
  <c r="G95" i="5"/>
  <c r="E96" i="5" l="1"/>
  <c r="E95" i="5" l="1"/>
  <c r="B50" i="5" l="1"/>
  <c r="B51" i="5"/>
  <c r="B49" i="5"/>
  <c r="C52" i="5" l="1"/>
  <c r="D52" i="5" s="1"/>
  <c r="C51" i="5"/>
  <c r="C50" i="5"/>
  <c r="C49" i="5"/>
  <c r="E53" i="5" l="1"/>
  <c r="D51" i="5"/>
  <c r="D50" i="5"/>
  <c r="D49" i="5"/>
  <c r="E67" i="5" l="1"/>
  <c r="B61" i="5"/>
  <c r="F53" i="5"/>
  <c r="D53" i="5"/>
  <c r="G67" i="5" l="1"/>
  <c r="I72" i="5"/>
  <c r="B67" i="5"/>
  <c r="B9" i="6"/>
  <c r="B3" i="6"/>
  <c r="D3" i="6" s="1"/>
  <c r="I8" i="5" s="1"/>
  <c r="E8" i="5" s="1"/>
  <c r="D9" i="6" l="1"/>
  <c r="B91" i="5" s="1"/>
  <c r="F8" i="5" l="1"/>
  <c r="E13" i="5"/>
  <c r="F13" i="5" s="1"/>
  <c r="G13" i="5" s="1"/>
  <c r="B58" i="5" s="1"/>
  <c r="G21" i="5"/>
  <c r="H21" i="5" s="1"/>
  <c r="G8" i="5" l="1"/>
  <c r="B43" i="5" s="1"/>
  <c r="B44" i="5"/>
  <c r="B59" i="5"/>
  <c r="B62" i="5" s="1"/>
  <c r="G72" i="5" s="1"/>
  <c r="E71" i="5" s="1"/>
  <c r="B82" i="5"/>
  <c r="H73" i="5" l="1"/>
  <c r="B66" i="5"/>
  <c r="B69" i="5" s="1"/>
  <c r="C68" i="5" s="1"/>
  <c r="B45" i="5"/>
  <c r="B85" i="5"/>
  <c r="C82" i="5" s="1"/>
  <c r="C66" i="5" l="1"/>
  <c r="C73" i="5"/>
  <c r="C69" i="5"/>
  <c r="C67" i="5"/>
  <c r="C72" i="5"/>
  <c r="B74" i="5"/>
  <c r="E74" i="5" s="1"/>
  <c r="C71" i="5"/>
  <c r="C87" i="5"/>
  <c r="C88" i="5"/>
  <c r="C89" i="5"/>
  <c r="C83" i="5"/>
  <c r="C91" i="5"/>
  <c r="C85" i="5"/>
  <c r="C84" i="5"/>
  <c r="B93" i="5"/>
  <c r="C93" i="5" s="1"/>
  <c r="C90" i="5"/>
  <c r="B76" i="5" l="1"/>
  <c r="B96" i="5" s="1"/>
  <c r="C74" i="5"/>
  <c r="B97" i="5"/>
  <c r="A98" i="5" l="1"/>
  <c r="C7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Grégory JOECKLE</author>
    <author>Hélène GAUDOIN</author>
  </authors>
  <commentList>
    <comment ref="A9" authorId="0" shapeId="0" xr:uid="{933F77F3-A088-41B5-9A52-9565DB9C9B28}">
      <text>
        <r>
          <rPr>
            <b/>
            <sz val="9"/>
            <color indexed="81"/>
            <rFont val="Tahoma"/>
            <family val="2"/>
          </rPr>
          <t xml:space="preserve">Programmes nationaux : Langues &amp; compétences, Handicap, Missions Jeunes / Garantie Jeunes, Réfugiés/HOPE.
</t>
        </r>
      </text>
    </comment>
    <comment ref="A11" authorId="1" shapeId="0" xr:uid="{FDD134C9-5684-4996-ABEF-984B181D1ADB}">
      <text>
        <r>
          <rPr>
            <b/>
            <sz val="9"/>
            <color indexed="81"/>
            <rFont val="Tahoma"/>
            <family val="2"/>
          </rPr>
          <t>Publics prioritaire définis par la loi :
-Les personnes âgées de 16 à 25 ans révolus qui n’ont pas validé un second cycle de l’enseignement secondaire et qui ne sont pas titulaires d’un diplôme de l’enseignement technologique ou professionnel,
-Les personnes inscrites depuis plus d’un an sur la liste des demandeurs d’emplois
-Les personnes bénéficiaires du revenu de solidarité active, de l’allocation de solidarité spécifique ou de l’allocation aux adultes handicapés ou aux personnes ayant bénéficié d’un contrat conclu dans le cadre des politiques de l’emploi.</t>
        </r>
      </text>
    </comment>
    <comment ref="A18" authorId="0" shapeId="0" xr:uid="{3653C4C4-B4B6-457E-8DB1-E8A1B3545BDF}">
      <text>
        <r>
          <rPr>
            <b/>
            <sz val="9"/>
            <color indexed="81"/>
            <rFont val="Tahoma"/>
            <family val="2"/>
          </rPr>
          <t xml:space="preserve"> 
Contrat de  6 à 36 mois </t>
        </r>
      </text>
    </comment>
    <comment ref="A19" authorId="0" shapeId="0" xr:uid="{9534F1EA-D422-4184-8560-A39193EDFDA4}">
      <text>
        <r>
          <rPr>
            <sz val="9"/>
            <color indexed="81"/>
            <rFont val="Tahoma"/>
            <family val="2"/>
          </rPr>
          <t xml:space="preserve">Minimum 150 h
Attention !!! vérifier le pourcentage de durée de formation 
15 à 25 % ou 15 à 50 %
</t>
        </r>
      </text>
    </comment>
    <comment ref="A21" authorId="0" shapeId="0" xr:uid="{B6FC74B7-9933-462F-99B1-38268B45681F}">
      <text>
        <r>
          <rPr>
            <b/>
            <sz val="9"/>
            <color indexed="81"/>
            <rFont val="Tahoma"/>
            <family val="2"/>
          </rPr>
          <t xml:space="preserve">
Heures Totales du contrat =heures de formation + heures travaillées</t>
        </r>
        <r>
          <rPr>
            <sz val="9"/>
            <color indexed="81"/>
            <rFont val="Tahoma"/>
            <family val="2"/>
          </rPr>
          <t xml:space="preserve">
</t>
        </r>
      </text>
    </comment>
    <comment ref="A23" authorId="0" shapeId="0" xr:uid="{6A399B6B-006A-45EB-9BF2-C4F41CBBD461}">
      <text>
        <r>
          <rPr>
            <b/>
            <sz val="9"/>
            <color indexed="81"/>
            <rFont val="Tahoma"/>
            <family val="2"/>
          </rPr>
          <t xml:space="preserve">
Ce taux va permettre de calculer automatiquement le taux horaire pendant la formation  (cellule E8):  70%, 80% du SMIC, 85% du salaire minimum conventionnel. Dans le cas où vous avez séléctionné "SMIC ou +" en cellule B21, alors aucun % de déductions ne s'appliquera.</t>
        </r>
      </text>
    </comment>
    <comment ref="C30" authorId="0" shapeId="0" xr:uid="{94CF8B45-AB8A-4D74-8A95-5C46E6F2D356}">
      <text>
        <r>
          <rPr>
            <b/>
            <sz val="9"/>
            <color indexed="81"/>
            <rFont val="Tahoma"/>
            <family val="2"/>
          </rPr>
          <t xml:space="preserve">
Total heures de formation /7 h = Nbre de jours</t>
        </r>
        <r>
          <rPr>
            <sz val="9"/>
            <color indexed="81"/>
            <rFont val="Tahoma"/>
            <family val="2"/>
          </rPr>
          <t xml:space="preserve">
</t>
        </r>
      </text>
    </comment>
    <comment ref="E30" authorId="0" shapeId="0" xr:uid="{11B8CF45-307A-489D-8575-D01226D86C56}">
      <text>
        <r>
          <rPr>
            <sz val="9"/>
            <color indexed="81"/>
            <rFont val="Tahoma"/>
            <family val="2"/>
          </rPr>
          <t xml:space="preserve">Nbre de jours = Heures de travail / 7h  
Congés= 2,5 jours/mois
Résultat = Nbre de jours - congés
</t>
        </r>
      </text>
    </comment>
    <comment ref="C31" authorId="0" shapeId="0" xr:uid="{A065F21B-86AE-4776-8A8C-88EDBE13B14F}">
      <text>
        <r>
          <rPr>
            <sz val="9"/>
            <color indexed="81"/>
            <rFont val="Tahoma"/>
            <family val="2"/>
          </rPr>
          <t xml:space="preserve">Nbre de jours / 5 = Nbre de semaines
</t>
        </r>
      </text>
    </comment>
    <comment ref="A32" authorId="0" shapeId="0" xr:uid="{494FEF05-F0CF-48F4-B2BE-1C148292D5AD}">
      <text>
        <r>
          <rPr>
            <b/>
            <sz val="9"/>
            <color indexed="81"/>
            <rFont val="Tahoma"/>
            <family val="2"/>
          </rPr>
          <t xml:space="preserve">Taux horaire brut de délégation en Entreprise Utilisatrise </t>
        </r>
        <r>
          <rPr>
            <sz val="9"/>
            <color indexed="81"/>
            <rFont val="Tahoma"/>
            <family val="2"/>
          </rPr>
          <t xml:space="preserve">
</t>
        </r>
      </text>
    </comment>
    <comment ref="A33" authorId="0" shapeId="0" xr:uid="{630742F3-F6D1-4D9D-98BC-CD575BDAF556}">
      <text>
        <r>
          <rPr>
            <b/>
            <sz val="9"/>
            <color indexed="81"/>
            <rFont val="Tahoma"/>
            <family val="2"/>
          </rPr>
          <t>Charges totales réelles de l'agence d'emploi, hors IFM et ICP
En %
Ce taux varie selon l'entreprise</t>
        </r>
      </text>
    </comment>
    <comment ref="A34" authorId="0" shapeId="0" xr:uid="{974BDFB5-0F09-4F80-95AF-D2CA8FBC9476}">
      <text>
        <r>
          <rPr>
            <b/>
            <sz val="9"/>
            <color indexed="81"/>
            <rFont val="Tahoma"/>
            <family val="2"/>
          </rPr>
          <t xml:space="preserve">Coefficient, permet de calculer la facturation de l'agence d'emploi
</t>
        </r>
        <r>
          <rPr>
            <sz val="9"/>
            <color indexed="81"/>
            <rFont val="Tahoma"/>
            <family val="2"/>
          </rPr>
          <t xml:space="preserve">
</t>
        </r>
      </text>
    </comment>
    <comment ref="A72" authorId="0" shapeId="0" xr:uid="{361DC376-B354-4A09-BDE2-876B0B727AB5}">
      <text>
        <r>
          <rPr>
            <sz val="9"/>
            <color indexed="81"/>
            <rFont val="Tahoma"/>
            <family val="2"/>
          </rPr>
          <t xml:space="preserve">Montant maximum voir cellule (???)
</t>
        </r>
        <r>
          <rPr>
            <b/>
            <sz val="9"/>
            <color indexed="81"/>
            <rFont val="Tahoma"/>
            <family val="2"/>
          </rPr>
          <t>Budgets possibles :</t>
        </r>
        <r>
          <rPr>
            <sz val="9"/>
            <color indexed="81"/>
            <rFont val="Tahoma"/>
            <family val="2"/>
          </rPr>
          <t xml:space="preserve">
-Investissement formation
-FPE.TT uniquement pour les intérimaires.
- Sur le 10% CDII
</t>
        </r>
      </text>
    </comment>
    <comment ref="D72" authorId="1" shapeId="0" xr:uid="{49D25A93-7CBD-4FBB-8367-DFE17C24412F}">
      <text>
        <r>
          <rPr>
            <b/>
            <sz val="9"/>
            <color indexed="81"/>
            <rFont val="Tahoma"/>
            <family val="2"/>
          </rPr>
          <t>Comment financer le reste à charge ?</t>
        </r>
        <r>
          <rPr>
            <sz val="9"/>
            <color indexed="81"/>
            <rFont val="Tahoma"/>
            <family val="2"/>
          </rPr>
          <t xml:space="preserve">
-Sur l'investissement formation
-Sur le FPE.TT uniquement pour les intérimaires.
- Sur le 10% CDII</t>
        </r>
      </text>
    </comment>
  </commentList>
</comments>
</file>

<file path=xl/sharedStrings.xml><?xml version="1.0" encoding="utf-8"?>
<sst xmlns="http://schemas.openxmlformats.org/spreadsheetml/2006/main" count="346" uniqueCount="291">
  <si>
    <t>Nbr unités</t>
  </si>
  <si>
    <t>Coût unitaire</t>
  </si>
  <si>
    <t>Coût HT du projet</t>
  </si>
  <si>
    <t>Barèmes</t>
  </si>
  <si>
    <t>Intérimaire</t>
  </si>
  <si>
    <t>Coût pédagogique total</t>
  </si>
  <si>
    <t>Coût unitaire Petit déjeuner</t>
  </si>
  <si>
    <t>Coût unitaire Hébergement</t>
  </si>
  <si>
    <t>Oui</t>
  </si>
  <si>
    <t>Non</t>
  </si>
  <si>
    <t>Liste déroulante    (voir barèmes)    cliquez ici -&gt;</t>
  </si>
  <si>
    <t>Coût unitaire Repas</t>
  </si>
  <si>
    <t>Mot de passe :FAFTT</t>
  </si>
  <si>
    <t>Nbre de Repas</t>
  </si>
  <si>
    <t>Nbre de Petit déjeuner</t>
  </si>
  <si>
    <t>Nbre d'Hébergement</t>
  </si>
  <si>
    <t>Comparateur</t>
  </si>
  <si>
    <t>Salaire</t>
  </si>
  <si>
    <t>Perform + €HT/ heure</t>
  </si>
  <si>
    <t>Repas</t>
  </si>
  <si>
    <t>Petit déjeuner</t>
  </si>
  <si>
    <t>Hébergement</t>
  </si>
  <si>
    <t>Transport</t>
  </si>
  <si>
    <t xml:space="preserve">Certifiante                 =&gt; Liste déroulante cliquez ici </t>
  </si>
  <si>
    <t xml:space="preserve">PERFORM +               =&gt; Liste déroulante cliquez ici </t>
  </si>
  <si>
    <t>Formation certifiante</t>
  </si>
  <si>
    <t>Age du salarié</t>
  </si>
  <si>
    <t xml:space="preserve">Nbre d'heures de formation </t>
  </si>
  <si>
    <t>Coût horaire</t>
  </si>
  <si>
    <t>Salarié intérimaire ou permanent ?</t>
  </si>
  <si>
    <t>Heures Hebdomadaires</t>
  </si>
  <si>
    <t>&lt; 21 ans</t>
  </si>
  <si>
    <t>21 à 25 ans</t>
  </si>
  <si>
    <t>&gt;= 26 ans</t>
  </si>
  <si>
    <t xml:space="preserve">Année d'execution formation </t>
  </si>
  <si>
    <t>2 ième</t>
  </si>
  <si>
    <t>3 ième</t>
  </si>
  <si>
    <t>1ère, 2ième ou 3ième année de formation ?</t>
  </si>
  <si>
    <t>1 ère</t>
  </si>
  <si>
    <t xml:space="preserve">Oui </t>
  </si>
  <si>
    <t>Non, reconnaissance convention collective</t>
  </si>
  <si>
    <t>Niveau de formation du salarié</t>
  </si>
  <si>
    <t>&gt;= Bac pro</t>
  </si>
  <si>
    <t>&lt; Bac Pro</t>
  </si>
  <si>
    <t>Nombres d'heures de formation</t>
  </si>
  <si>
    <t>Heures totales du contrat</t>
  </si>
  <si>
    <t>Nombres d'heures totales du contrat</t>
  </si>
  <si>
    <t xml:space="preserve">Coût total  salaire </t>
  </si>
  <si>
    <t xml:space="preserve">Coût total  Frais annexes </t>
  </si>
  <si>
    <t>Salaire Contrat de professionnalisation</t>
  </si>
  <si>
    <t>Branche</t>
  </si>
  <si>
    <t>Salaire Contrat d'apprentissage</t>
  </si>
  <si>
    <t>% Smic</t>
  </si>
  <si>
    <t xml:space="preserve">16 -18 </t>
  </si>
  <si>
    <t xml:space="preserve">18 - 21 </t>
  </si>
  <si>
    <t xml:space="preserve">&gt;= 21 </t>
  </si>
  <si>
    <t xml:space="preserve">Certifiante                </t>
  </si>
  <si>
    <t>Apprentissage</t>
  </si>
  <si>
    <t>Contrat Pro &lt;Bac pro</t>
  </si>
  <si>
    <t>Contrat pro &gt; bac pro</t>
  </si>
  <si>
    <t>1ER</t>
  </si>
  <si>
    <t>2IEME</t>
  </si>
  <si>
    <t>3IEME</t>
  </si>
  <si>
    <t>&lt;BAC</t>
  </si>
  <si>
    <t>&gt;BAC</t>
  </si>
  <si>
    <t>AGE</t>
  </si>
  <si>
    <t>DIPLOME</t>
  </si>
  <si>
    <t>ANNEE ETUDE</t>
  </si>
  <si>
    <t>RESULTAT =&gt;</t>
  </si>
  <si>
    <t>78.20Z</t>
  </si>
  <si>
    <t>Salaire Contrat pro</t>
  </si>
  <si>
    <t>1ère année</t>
  </si>
  <si>
    <t>2ième année</t>
  </si>
  <si>
    <t>3ième année</t>
  </si>
  <si>
    <t>Tx horaire brut de base</t>
  </si>
  <si>
    <t>Salaire mensuel de base</t>
  </si>
  <si>
    <t xml:space="preserve">Métiers </t>
  </si>
  <si>
    <t xml:space="preserve">Convention collective </t>
  </si>
  <si>
    <t>Validation a minima</t>
  </si>
  <si>
    <t>Soudeur, chaudronnier,</t>
  </si>
  <si>
    <t>Opérateur régleur,</t>
  </si>
  <si>
    <t>Ajusteur monteur,</t>
  </si>
  <si>
    <t>Conducteur de machines automatisées</t>
  </si>
  <si>
    <t>UIMM (Métallurgie)</t>
  </si>
  <si>
    <t>IDCC 54</t>
  </si>
  <si>
    <t>Coefficient 170 (N2 Echelon 1)</t>
  </si>
  <si>
    <t>Opérateur plasturgie,</t>
  </si>
  <si>
    <t>Opérateur sur presse à injecter</t>
  </si>
  <si>
    <t>Plasturgie </t>
  </si>
  <si>
    <t>IDCC 292</t>
  </si>
  <si>
    <t>Coefficient 720</t>
  </si>
  <si>
    <t>Magasinier cariste, préparateur</t>
  </si>
  <si>
    <t>de commandes</t>
  </si>
  <si>
    <t>Transport et auxiliaires de transport</t>
  </si>
  <si>
    <t>IDCC 16</t>
  </si>
  <si>
    <t>Groupe 4 - coefficient 120  </t>
  </si>
  <si>
    <t>Magasinier cariste, vendeur</t>
  </si>
  <si>
    <t>Commerce de gros</t>
  </si>
  <si>
    <t>IDCC 573</t>
  </si>
  <si>
    <t>Niv 2</t>
  </si>
  <si>
    <t>Conducteur routier</t>
  </si>
  <si>
    <t xml:space="preserve">IDCC 16 </t>
  </si>
  <si>
    <r>
      <t xml:space="preserve">Lourd : </t>
    </r>
    <r>
      <rPr>
        <b/>
        <i/>
        <u/>
        <sz val="12"/>
        <color theme="1"/>
        <rFont val="Times New Roman"/>
        <family val="1"/>
      </rPr>
      <t>Permis C + Fimo</t>
    </r>
  </si>
  <si>
    <t>groupe 5 coefficient 128 M</t>
  </si>
  <si>
    <r>
      <t xml:space="preserve">Super lourd : </t>
    </r>
    <r>
      <rPr>
        <b/>
        <i/>
        <u/>
        <sz val="12"/>
        <color theme="1"/>
        <rFont val="Times New Roman"/>
        <family val="1"/>
      </rPr>
      <t>Permis EC + Fimo</t>
    </r>
  </si>
  <si>
    <t>groupe 6 Coefficient 148 M</t>
  </si>
  <si>
    <r>
      <t xml:space="preserve">Transport voyageurs : </t>
    </r>
    <r>
      <rPr>
        <b/>
        <i/>
        <u/>
        <sz val="12"/>
        <color theme="1"/>
        <rFont val="Times New Roman"/>
        <family val="1"/>
      </rPr>
      <t>Permis D + Fimo</t>
    </r>
  </si>
  <si>
    <t>groupe 7 coefficient 138 M</t>
  </si>
  <si>
    <t>Maçon VRD</t>
  </si>
  <si>
    <t>Travaux publics</t>
  </si>
  <si>
    <t>IDCC 1702</t>
  </si>
  <si>
    <t>N1 P2 coefficient 110</t>
  </si>
  <si>
    <t>Coffreur bancheur, Conducteur d’engins</t>
  </si>
  <si>
    <t>Bâtiment</t>
  </si>
  <si>
    <t>IDCC 1596 /1597</t>
  </si>
  <si>
    <t>N1 P2 coefficient 170</t>
  </si>
  <si>
    <t>Téléconseiller /Technicien de Maintenance Nucléaire</t>
  </si>
  <si>
    <t>Syntec</t>
  </si>
  <si>
    <t>IDCC 1486</t>
  </si>
  <si>
    <t>P1.3.1 Coef 220</t>
  </si>
  <si>
    <t>Opérateur en pharmacie industrielle, conditionneur</t>
  </si>
  <si>
    <t>Pharmacie Industrielle</t>
  </si>
  <si>
    <t>IDCC 176</t>
  </si>
  <si>
    <t>Groupe 2 Niv A ou B</t>
  </si>
  <si>
    <t>Découpeur, désosseur de volailles,</t>
  </si>
  <si>
    <t>Ouvrier Polyvalent</t>
  </si>
  <si>
    <t>Abattoirs de volailles</t>
  </si>
  <si>
    <t>IDCC 1938</t>
  </si>
  <si>
    <t>N1 Coef 135</t>
  </si>
  <si>
    <t>N2 Coef 145</t>
  </si>
  <si>
    <t>Industrie Agroalimentaire</t>
  </si>
  <si>
    <t>IDCC 504</t>
  </si>
  <si>
    <t>Téléconseiller</t>
  </si>
  <si>
    <t>Personnel des Prestataires de Services dans le domaine du Secteur Tertiaire</t>
  </si>
  <si>
    <t>IDCC 2098</t>
  </si>
  <si>
    <t>Coef 150</t>
  </si>
  <si>
    <t>Coef 130 : si centre d’appel non intégré</t>
  </si>
  <si>
    <t>(ex : Téléperformance)</t>
  </si>
  <si>
    <t>2) Loi Cherpion et succession de contrats de professionnalisation </t>
  </si>
  <si>
    <r>
      <t xml:space="preserve">Le renouvellement d’un contrat de professionnalisation en CDD est dorénavant possible dans le cas où le salarié a obtenu sa qualification, à condition que le deuxième contrat prépare une qualification supérieure </t>
    </r>
    <r>
      <rPr>
        <b/>
        <sz val="10"/>
        <color rgb="FF0070C0"/>
        <rFont val="Optima"/>
      </rPr>
      <t>ou</t>
    </r>
    <r>
      <rPr>
        <sz val="10"/>
        <color rgb="FF0070C0"/>
        <rFont val="Optima"/>
      </rPr>
      <t xml:space="preserve"> complémentaire.</t>
    </r>
  </si>
  <si>
    <r>
      <t>Qualification supérieure</t>
    </r>
    <r>
      <rPr>
        <sz val="10"/>
        <color rgb="FF0070C0"/>
        <rFont val="Optima"/>
      </rPr>
      <t> </t>
    </r>
  </si>
  <si>
    <t>Le FAF. TT propose d’appliquer les principes présentés dans le tableau ci-dessous :</t>
  </si>
  <si>
    <t>Contrat 1</t>
  </si>
  <si>
    <t>Contrat 2</t>
  </si>
  <si>
    <t>Proposition</t>
  </si>
  <si>
    <t>Diplôme, Titre, CQP</t>
  </si>
  <si>
    <t>Oui, si diplôme, Titre ou CQP d’un niveau supérieur (ex : un BTS suivi d’une licence).</t>
  </si>
  <si>
    <t>CCN</t>
  </si>
  <si>
    <t>Oui, dans tous les cas.</t>
  </si>
  <si>
    <t>Oui, si le deuxième contrat permet une  élévation du niveau dans une même convention collective.</t>
  </si>
  <si>
    <t xml:space="preserve">CCN </t>
  </si>
  <si>
    <t>Qualification complémentaire </t>
  </si>
  <si>
    <t>Le FAF.TT propose d’appliquer le même principe que dans le cas des CDPI.</t>
  </si>
  <si>
    <t>Exemples de CDPI complémentaires:</t>
  </si>
  <si>
    <t>Conducteur d’engins de chantier</t>
  </si>
  <si>
    <t>TP CTRMTP</t>
  </si>
  <si>
    <t>TP CTRMTV</t>
  </si>
  <si>
    <r>
      <t>-</t>
    </r>
    <r>
      <rPr>
        <sz val="7"/>
        <color rgb="FF0070C0"/>
        <rFont val="Times New Roman"/>
        <family val="1"/>
      </rPr>
      <t xml:space="preserve">        </t>
    </r>
    <r>
      <rPr>
        <sz val="10"/>
        <color rgb="FF0070C0"/>
        <rFont val="Optima"/>
      </rPr>
      <t> </t>
    </r>
  </si>
  <si>
    <t>Oui, si diplôme, Titre ou CQP complémentaire dans un même domaine</t>
  </si>
  <si>
    <t>Oui dans tous les cas</t>
  </si>
  <si>
    <t>Oui, si le deuxième contrat est complémentaire dans un même domaine.</t>
  </si>
  <si>
    <t>Oui, si le contenu de formation et l’emploi visés sont complémentaires.</t>
  </si>
  <si>
    <t>Proposition de la commission : la commission propose de valider les propositions présentées ci-dessus. Elle demande que les parcours comportant des qualifications complémentaires pour les permanents lui soient présentés.</t>
  </si>
  <si>
    <t>Salaire Apprentissage</t>
  </si>
  <si>
    <t>Coefficient de facturation</t>
  </si>
  <si>
    <t>Facturation heures EU</t>
  </si>
  <si>
    <t>Total Facturation EU</t>
  </si>
  <si>
    <t>Total Coût pédagogique</t>
  </si>
  <si>
    <t>Total Coût des frais annexes</t>
  </si>
  <si>
    <t>Total Coût du salaire</t>
  </si>
  <si>
    <t>Total coût contrat pro</t>
  </si>
  <si>
    <t xml:space="preserve">Simulateur Financement Contrat de Professionnalisation </t>
  </si>
  <si>
    <t xml:space="preserve">EU Total facturation </t>
  </si>
  <si>
    <t>Total Recettes</t>
  </si>
  <si>
    <t>% du coût total</t>
  </si>
  <si>
    <t>Dépenses</t>
  </si>
  <si>
    <t>En Euros</t>
  </si>
  <si>
    <t>Recettes</t>
  </si>
  <si>
    <t>Total coût apprentissage</t>
  </si>
  <si>
    <t>Volume de marge si Contrat de Professionnalisation</t>
  </si>
  <si>
    <t>Volume de marge si Contrat d'Apprentissage</t>
  </si>
  <si>
    <t xml:space="preserve"> Avec Charges</t>
  </si>
  <si>
    <t xml:space="preserve">Montant total des aides financières </t>
  </si>
  <si>
    <t>Résultat</t>
  </si>
  <si>
    <t>Mode d'emploi contrat apprentissage Intérimaire</t>
  </si>
  <si>
    <t>Simulateur Financement Contrat Apprentissage</t>
  </si>
  <si>
    <t>Coefficient de facturation délégation EU</t>
  </si>
  <si>
    <t>Avec IFM</t>
  </si>
  <si>
    <t xml:space="preserve">Marge sur salaire </t>
  </si>
  <si>
    <t>Marge Totale</t>
  </si>
  <si>
    <t>(Optionnel) Coût du diplôme pour le CFA</t>
  </si>
  <si>
    <t>(Optionnel) Financement diplôme par taxe apprentisage</t>
  </si>
  <si>
    <t>Base calcul  salaire EU FAF.TT</t>
  </si>
  <si>
    <t>Coût salarial total en Formation</t>
  </si>
  <si>
    <t>Total réel coût salarial</t>
  </si>
  <si>
    <t xml:space="preserve">Coût salarial en Entreprise </t>
  </si>
  <si>
    <t xml:space="preserve"> En formation </t>
  </si>
  <si>
    <t>En entreprise</t>
  </si>
  <si>
    <t>Nombres d'heures en entreprise</t>
  </si>
  <si>
    <t>Estimation du Coût pédagogique</t>
  </si>
  <si>
    <t>Estimation des frais Annexes</t>
  </si>
  <si>
    <t xml:space="preserve">Total estimation FAF.TT coût salarial </t>
  </si>
  <si>
    <t xml:space="preserve">Perte salaire en formation </t>
  </si>
  <si>
    <t>Nbre en formation</t>
  </si>
  <si>
    <t>En formation</t>
  </si>
  <si>
    <t>En Entreprise</t>
  </si>
  <si>
    <t>Nbre en Entreprise</t>
  </si>
  <si>
    <t>Coût unitaire transport</t>
  </si>
  <si>
    <t>Nbre de transport</t>
  </si>
  <si>
    <t>Nbre de jours en OF à Temps plein</t>
  </si>
  <si>
    <t>Nbre de jours en entreprises à temps plein</t>
  </si>
  <si>
    <t>En semaine</t>
  </si>
  <si>
    <t xml:space="preserve">Calcul du coût salarial total </t>
  </si>
  <si>
    <t>Synthèse</t>
  </si>
  <si>
    <t>Remboursement rémunération par le FAF.TT</t>
  </si>
  <si>
    <t xml:space="preserve">Lien vers Simulateur Apprentissage et contrat pro Rémunération et d'aides aux entreprises </t>
  </si>
  <si>
    <t xml:space="preserve"> €HT/ heure</t>
  </si>
  <si>
    <t>Paramètres à compléter</t>
  </si>
  <si>
    <t>Date début contrat</t>
  </si>
  <si>
    <t>Date fin contrat</t>
  </si>
  <si>
    <t xml:space="preserve">Nb jours </t>
  </si>
  <si>
    <t xml:space="preserve">Nb mois </t>
  </si>
  <si>
    <t>Nb semaines</t>
  </si>
  <si>
    <t>Temps de travail hebdo</t>
  </si>
  <si>
    <t>Nb heures total contrat</t>
  </si>
  <si>
    <t>Nb heures formation 15%</t>
  </si>
  <si>
    <t>Nb heures formation 25%</t>
  </si>
  <si>
    <t>Nb heures formation 50%</t>
  </si>
  <si>
    <t>Un contrat de 6 mois est &gt;= 180jours</t>
  </si>
  <si>
    <t>Attention au maxi de prise en charge sans référentiel diplôme permettant de déroger au plafond (BEP : 1000H, BAC/BTS : 1200H)</t>
  </si>
  <si>
    <t>Total de prise en charge maxi pour un diplôme avec référentiel : 1500H</t>
  </si>
  <si>
    <t>Par convention : un contrat du 01/01/2007 au 01/01/2008 est un contrat de plus de 12 mois.</t>
  </si>
  <si>
    <t>ATTENTION : Philae bloque un contrat de ce type avec 458H et une validation diplôme. Ce dossier est conforme et doit être forcé.</t>
  </si>
  <si>
    <t>Calcul du nombre d'heures de formation en fonction d'un % d'actions de formation et d'un nombre de mois</t>
  </si>
  <si>
    <t>Nb mois</t>
  </si>
  <si>
    <t>% d'action de formation</t>
  </si>
  <si>
    <t>Nb heures formation</t>
  </si>
  <si>
    <t>Calcul du nombre de mois en fonction du nombre d'heures de formation et du % souhaité</t>
  </si>
  <si>
    <t>Nb heures de formation</t>
  </si>
  <si>
    <t>Nb de mois</t>
  </si>
  <si>
    <t>Permanent CDI</t>
  </si>
  <si>
    <t>Permanent CDD</t>
  </si>
  <si>
    <t>TOTAL</t>
  </si>
  <si>
    <t>Renseignez les cases blanches</t>
  </si>
  <si>
    <t>Simulateur Contrat de professionnalisation</t>
  </si>
  <si>
    <t xml:space="preserve">Calcul des frais annexes </t>
  </si>
  <si>
    <t>% charges sur taux horaire Contrat pro</t>
  </si>
  <si>
    <t>Taux horaire Brut</t>
  </si>
  <si>
    <t>Forfaits Professionnalisation</t>
  </si>
  <si>
    <t>PERFORM +        (Infobulle ici)</t>
  </si>
  <si>
    <t>Coeff Congés payés  / IFM</t>
  </si>
  <si>
    <t>% de formation</t>
  </si>
  <si>
    <t xml:space="preserve">Total </t>
  </si>
  <si>
    <t>Nombre d'heures hebdomadaires</t>
  </si>
  <si>
    <t>Nbre de mois de contrat</t>
  </si>
  <si>
    <t xml:space="preserve">Salaire mensuel  </t>
  </si>
  <si>
    <t xml:space="preserve">Taux horaire brut de référence
pendant la formation (Sans appliquer les % de déductions Age/Diplôme) </t>
  </si>
  <si>
    <t>Avec ICP</t>
  </si>
  <si>
    <t>&gt;=26</t>
  </si>
  <si>
    <t>SMIC</t>
  </si>
  <si>
    <t>Taux horaire de référence</t>
  </si>
  <si>
    <t>Taux horaire en formation</t>
  </si>
  <si>
    <t xml:space="preserve">Comment souhaitez-vous rémunérer le salarié pendant la formation ? </t>
  </si>
  <si>
    <t>Calcul du coût total en formation</t>
  </si>
  <si>
    <t xml:space="preserve">Frais Annexes non imputable </t>
  </si>
  <si>
    <t>% Minimum conventionnel</t>
  </si>
  <si>
    <t>% SMIC</t>
  </si>
  <si>
    <t xml:space="preserve">SMIC ou +  </t>
  </si>
  <si>
    <t>Taux horaire en mission du PRO</t>
  </si>
  <si>
    <t xml:space="preserve">Congés payés déduits, hors jours fériés </t>
  </si>
  <si>
    <t>Action bénéficiant d'un cofinancement (Oui/Non)</t>
  </si>
  <si>
    <t>Formation sans cofinancement intérimaire</t>
  </si>
  <si>
    <t>Formation bénéficiant d'un cofinancement permanent</t>
  </si>
  <si>
    <t>Formation bénéficiant d'un cofinancement intérimaire</t>
  </si>
  <si>
    <t>Programmes nationaux</t>
  </si>
  <si>
    <t>Programme nationaux (Oui/Non)</t>
  </si>
  <si>
    <t>Forfait horaire de prise en charge AKTO</t>
  </si>
  <si>
    <t xml:space="preserve">Estimation AKTO salaire en formation </t>
  </si>
  <si>
    <t>Public prioritaire</t>
  </si>
  <si>
    <t>forfait CPRO intérimaire</t>
  </si>
  <si>
    <t>forfait CPRO permanent</t>
  </si>
  <si>
    <t>Formation sans confinancement permanent</t>
  </si>
  <si>
    <t>Surcoût possible</t>
  </si>
  <si>
    <t>AKTO Forfait</t>
  </si>
  <si>
    <t>AKTO Budgets disponibles pour surcoût</t>
  </si>
  <si>
    <t>Forfait coeff de charges sur rému AKTO</t>
  </si>
  <si>
    <t>Taux hor. brut en mission</t>
  </si>
  <si>
    <t>Tout savoir sur le contrat de professionnalisation</t>
  </si>
  <si>
    <r>
      <t xml:space="preserve">forfait CPRO intérimaire </t>
    </r>
    <r>
      <rPr>
        <b/>
        <sz val="14"/>
        <color theme="0"/>
        <rFont val="Franklin Gothic Book"/>
        <family val="2"/>
      </rPr>
      <t>Téléconseiller</t>
    </r>
    <r>
      <rPr>
        <sz val="14"/>
        <color theme="0"/>
        <rFont val="Franklin Gothic Book"/>
        <family val="2"/>
      </rPr>
      <t xml:space="preserve"> niveau 4 (bac) ou plus</t>
    </r>
  </si>
  <si>
    <r>
      <t xml:space="preserve">forfait CPRO </t>
    </r>
    <r>
      <rPr>
        <b/>
        <sz val="14"/>
        <rFont val="Franklin Gothic Book"/>
        <family val="2"/>
      </rPr>
      <t>Public Prioritaire</t>
    </r>
    <r>
      <rPr>
        <sz val="14"/>
        <color theme="0"/>
        <rFont val="Franklin Gothic Book"/>
        <family val="2"/>
      </rPr>
      <t xml:space="preserve"> permanent/Intérimaire/téléconseiller</t>
    </r>
  </si>
  <si>
    <r>
      <t xml:space="preserve">Simulateur réalisé à partir des critères de prise en charge  AKTO en vigueur. 
Outil d'aide à la décision n'ayant pas une valeur contractuelle.                  </t>
    </r>
    <r>
      <rPr>
        <b/>
        <sz val="9"/>
        <color rgb="FF1D4851"/>
        <rFont val="Franklin Gothic Book"/>
        <family val="2"/>
      </rPr>
      <t>MAJ AU 01/11/24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</si>
</sst>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0\ &quot;€&quot;;\-#,##0\ &quot;€&quot;"/>
    <numFmt numFmtId="7" formatCode="#,##0.00\ &quot;€&quot;;\-#,##0.00\ &quot;€&quot;"/>
    <numFmt numFmtId="164" formatCode="_-* #,##0.00\ _€_-;\-* #,##0.00\ _€_-;_-* &quot;-&quot;??\ _€_-;_-@_-"/>
    <numFmt numFmtId="165" formatCode="#,##0.00_ ;\-#,##0.00\ "/>
    <numFmt numFmtId="166" formatCode="#,##0_ ;\-#,##0\ "/>
    <numFmt numFmtId="167" formatCode="#,##0.00\ &quot;€&quot;"/>
    <numFmt numFmtId="168" formatCode="0.0"/>
    <numFmt numFmtId="169" formatCode="#,##0.00\ _€"/>
    <numFmt numFmtId="170" formatCode="d\-mmm\-yy"/>
    <numFmt numFmtId="171" formatCode="0.0000%"/>
    <numFmt numFmtId="172" formatCode="#,##0\ &quot;€&quot;"/>
  </numFmts>
  <fonts count="96">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11"/>
      <color theme="4" tint="-0.499984740745262"/>
      <name val="Calibri"/>
      <family val="2"/>
      <scheme val="minor"/>
    </font>
    <font>
      <i/>
      <sz val="11"/>
      <color theme="1"/>
      <name val="Calibri"/>
      <family val="2"/>
      <scheme val="minor"/>
    </font>
    <font>
      <u/>
      <sz val="11"/>
      <color theme="10"/>
      <name val="Calibri"/>
      <family val="2"/>
      <scheme val="minor"/>
    </font>
    <font>
      <sz val="12"/>
      <color theme="1"/>
      <name val="Times New Roman"/>
      <family val="1"/>
    </font>
    <font>
      <b/>
      <sz val="12"/>
      <color theme="1"/>
      <name val="Times New Roman"/>
      <family val="1"/>
    </font>
    <font>
      <i/>
      <sz val="12"/>
      <color theme="1"/>
      <name val="Times New Roman"/>
      <family val="1"/>
    </font>
    <font>
      <b/>
      <i/>
      <u/>
      <sz val="12"/>
      <color theme="1"/>
      <name val="Times New Roman"/>
      <family val="1"/>
    </font>
    <font>
      <b/>
      <u/>
      <sz val="10"/>
      <color rgb="FF0070C0"/>
      <name val="Optima"/>
    </font>
    <font>
      <sz val="10"/>
      <color rgb="FF0070C0"/>
      <name val="Optima"/>
    </font>
    <font>
      <b/>
      <sz val="10"/>
      <color rgb="FF0070C0"/>
      <name val="Optima"/>
    </font>
    <font>
      <sz val="10"/>
      <color rgb="FF0070C0"/>
      <name val="Arial"/>
      <family val="2"/>
    </font>
    <font>
      <sz val="7"/>
      <color rgb="FF0070C0"/>
      <name val="Times New Roman"/>
      <family val="1"/>
    </font>
    <font>
      <b/>
      <i/>
      <sz val="10"/>
      <color rgb="FF0070C0"/>
      <name val="Optima"/>
    </font>
    <font>
      <b/>
      <sz val="10"/>
      <name val="Arial"/>
      <family val="2"/>
    </font>
    <font>
      <b/>
      <sz val="14"/>
      <color rgb="FFFF0000"/>
      <name val="Calibri"/>
      <family val="2"/>
      <scheme val="minor"/>
    </font>
    <font>
      <sz val="9"/>
      <color indexed="81"/>
      <name val="Tahoma"/>
      <family val="2"/>
    </font>
    <font>
      <b/>
      <sz val="9"/>
      <color indexed="81"/>
      <name val="Tahoma"/>
      <family val="2"/>
    </font>
    <font>
      <sz val="10"/>
      <name val="Arial"/>
      <family val="2"/>
    </font>
    <font>
      <b/>
      <sz val="12"/>
      <name val="Arial"/>
      <family val="2"/>
    </font>
    <font>
      <sz val="12"/>
      <name val="Arial"/>
      <family val="2"/>
    </font>
    <font>
      <b/>
      <sz val="12"/>
      <color rgb="FFFF0000"/>
      <name val="Arial"/>
      <family val="2"/>
    </font>
    <font>
      <b/>
      <i/>
      <sz val="12"/>
      <color theme="4" tint="-0.499984740745262"/>
      <name val="Calibri"/>
      <family val="2"/>
      <scheme val="minor"/>
    </font>
    <font>
      <b/>
      <i/>
      <sz val="10"/>
      <color theme="4" tint="-0.499984740745262"/>
      <name val="Calibri"/>
      <family val="2"/>
      <scheme val="minor"/>
    </font>
    <font>
      <sz val="10"/>
      <name val="Calibri"/>
      <family val="2"/>
      <scheme val="minor"/>
    </font>
    <font>
      <sz val="10"/>
      <color theme="0"/>
      <name val="Arial"/>
      <family val="2"/>
    </font>
    <font>
      <b/>
      <sz val="10"/>
      <color theme="0"/>
      <name val="Arial"/>
      <family val="2"/>
    </font>
    <font>
      <sz val="11"/>
      <color theme="1"/>
      <name val="Franklin Gothic Book"/>
      <family val="2"/>
    </font>
    <font>
      <b/>
      <sz val="11"/>
      <color theme="2" tint="-0.89999084444715716"/>
      <name val="Franklin Gothic Book"/>
      <family val="2"/>
    </font>
    <font>
      <b/>
      <sz val="10"/>
      <color theme="4" tint="-0.249977111117893"/>
      <name val="Franklin Gothic Book"/>
      <family val="2"/>
    </font>
    <font>
      <b/>
      <sz val="10"/>
      <name val="Franklin Gothic Book"/>
      <family val="2"/>
    </font>
    <font>
      <b/>
      <sz val="18"/>
      <color theme="1"/>
      <name val="Franklin Gothic Book"/>
      <family val="2"/>
    </font>
    <font>
      <b/>
      <sz val="22"/>
      <name val="Franklin Gothic Book"/>
      <family val="2"/>
    </font>
    <font>
      <b/>
      <sz val="14"/>
      <color theme="0"/>
      <name val="Franklin Gothic Book"/>
      <family val="2"/>
    </font>
    <font>
      <b/>
      <sz val="11"/>
      <name val="Franklin Gothic Book"/>
      <family val="2"/>
    </font>
    <font>
      <b/>
      <sz val="11"/>
      <color theme="1"/>
      <name val="Franklin Gothic Book"/>
      <family val="2"/>
    </font>
    <font>
      <b/>
      <sz val="22"/>
      <color theme="1" tint="0.34998626667073579"/>
      <name val="Franklin Gothic Book"/>
      <family val="2"/>
    </font>
    <font>
      <sz val="12"/>
      <color theme="0"/>
      <name val="Franklin Gothic Book"/>
      <family val="2"/>
    </font>
    <font>
      <sz val="14"/>
      <color theme="0"/>
      <name val="Franklin Gothic Book"/>
      <family val="2"/>
    </font>
    <font>
      <b/>
      <sz val="8"/>
      <color theme="1"/>
      <name val="Franklin Gothic Book"/>
      <family val="2"/>
    </font>
    <font>
      <i/>
      <sz val="11"/>
      <color theme="1"/>
      <name val="Franklin Gothic Book"/>
      <family val="2"/>
    </font>
    <font>
      <i/>
      <sz val="11"/>
      <color theme="0" tint="-4.9989318521683403E-2"/>
      <name val="Franklin Gothic Book"/>
      <family val="2"/>
    </font>
    <font>
      <b/>
      <sz val="11"/>
      <color theme="0" tint="-4.9989318521683403E-2"/>
      <name val="Franklin Gothic Book"/>
      <family val="2"/>
    </font>
    <font>
      <sz val="11"/>
      <color theme="0" tint="-4.9989318521683403E-2"/>
      <name val="Franklin Gothic Book"/>
      <family val="2"/>
    </font>
    <font>
      <sz val="11"/>
      <name val="Franklin Gothic Book"/>
      <family val="2"/>
    </font>
    <font>
      <sz val="11"/>
      <color theme="0"/>
      <name val="Franklin Gothic Book"/>
      <family val="2"/>
    </font>
    <font>
      <b/>
      <sz val="11"/>
      <color rgb="FFFF0000"/>
      <name val="Franklin Gothic Book"/>
      <family val="2"/>
    </font>
    <font>
      <b/>
      <sz val="18"/>
      <name val="Franklin Gothic Book"/>
      <family val="2"/>
    </font>
    <font>
      <b/>
      <sz val="18"/>
      <color theme="2" tint="-0.749992370372631"/>
      <name val="Franklin Gothic Book"/>
      <family val="2"/>
    </font>
    <font>
      <u/>
      <sz val="11"/>
      <name val="Franklin Gothic Book"/>
      <family val="2"/>
    </font>
    <font>
      <b/>
      <i/>
      <sz val="11"/>
      <color theme="1"/>
      <name val="Franklin Gothic Book"/>
      <family val="2"/>
    </font>
    <font>
      <b/>
      <sz val="18"/>
      <color theme="2" tint="-0.499984740745262"/>
      <name val="Franklin Gothic Book"/>
      <family val="2"/>
    </font>
    <font>
      <b/>
      <sz val="14"/>
      <name val="Franklin Gothic Book"/>
      <family val="2"/>
    </font>
    <font>
      <sz val="11"/>
      <color rgb="FFFF0000"/>
      <name val="Franklin Gothic Book"/>
      <family val="2"/>
    </font>
    <font>
      <sz val="14"/>
      <color theme="0" tint="-4.9989318521683403E-2"/>
      <name val="Franklin Gothic Book"/>
      <family val="2"/>
    </font>
    <font>
      <sz val="14"/>
      <color rgb="FFFF0000"/>
      <name val="Franklin Gothic Book"/>
      <family val="2"/>
    </font>
    <font>
      <sz val="14"/>
      <name val="Franklin Gothic Book"/>
      <family val="2"/>
    </font>
    <font>
      <u/>
      <sz val="11"/>
      <color rgb="FFFF0000"/>
      <name val="Franklin Gothic Book"/>
      <family val="2"/>
    </font>
    <font>
      <i/>
      <sz val="14"/>
      <name val="Franklin Gothic Book"/>
      <family val="2"/>
    </font>
    <font>
      <u/>
      <sz val="14"/>
      <name val="Franklin Gothic Book"/>
      <family val="2"/>
    </font>
    <font>
      <i/>
      <sz val="14"/>
      <color theme="1"/>
      <name val="Franklin Gothic Book"/>
      <family val="2"/>
    </font>
    <font>
      <sz val="14"/>
      <color theme="9" tint="-0.499984740745262"/>
      <name val="Franklin Gothic Book"/>
      <family val="2"/>
    </font>
    <font>
      <b/>
      <i/>
      <sz val="11"/>
      <name val="Franklin Gothic Book"/>
      <family val="2"/>
    </font>
    <font>
      <i/>
      <sz val="11"/>
      <name val="Franklin Gothic Book"/>
      <family val="2"/>
    </font>
    <font>
      <i/>
      <u/>
      <sz val="11"/>
      <name val="Franklin Gothic Book"/>
      <family val="2"/>
    </font>
    <font>
      <u/>
      <sz val="11"/>
      <color theme="0" tint="-4.9989318521683403E-2"/>
      <name val="Franklin Gothic Book"/>
      <family val="2"/>
    </font>
    <font>
      <u/>
      <sz val="11"/>
      <color theme="10"/>
      <name val="Franklin Gothic Book"/>
      <family val="2"/>
    </font>
    <font>
      <b/>
      <sz val="8"/>
      <color rgb="FFFF0000"/>
      <name val="Franklin Gothic Book"/>
      <family val="2"/>
    </font>
    <font>
      <b/>
      <sz val="14"/>
      <color rgb="FFFF0000"/>
      <name val="Franklin Gothic Book"/>
      <family val="2"/>
    </font>
    <font>
      <b/>
      <sz val="14"/>
      <color rgb="FF00B050"/>
      <name val="Franklin Gothic Book"/>
      <family val="2"/>
    </font>
    <font>
      <b/>
      <sz val="11"/>
      <color rgb="FF00B050"/>
      <name val="Franklin Gothic Book"/>
      <family val="2"/>
    </font>
    <font>
      <b/>
      <i/>
      <sz val="10"/>
      <color theme="1"/>
      <name val="Franklin Gothic Book"/>
      <family val="2"/>
    </font>
    <font>
      <b/>
      <sz val="11"/>
      <color theme="2" tint="-0.749992370372631"/>
      <name val="Franklin Gothic Book"/>
      <family val="2"/>
    </font>
    <font>
      <b/>
      <i/>
      <sz val="11"/>
      <color rgb="FFFF0000"/>
      <name val="Franklin Gothic Book"/>
      <family val="2"/>
    </font>
    <font>
      <i/>
      <sz val="11"/>
      <color rgb="FFFF0000"/>
      <name val="Franklin Gothic Book"/>
      <family val="2"/>
    </font>
    <font>
      <b/>
      <i/>
      <sz val="10"/>
      <name val="Franklin Gothic Book"/>
      <family val="2"/>
    </font>
    <font>
      <b/>
      <i/>
      <sz val="11"/>
      <color theme="2" tint="-0.749992370372631"/>
      <name val="Franklin Gothic Book"/>
      <family val="2"/>
    </font>
    <font>
      <b/>
      <i/>
      <sz val="11"/>
      <color theme="0"/>
      <name val="Franklin Gothic Book"/>
      <family val="2"/>
    </font>
    <font>
      <b/>
      <sz val="11"/>
      <color theme="9" tint="-0.249977111117893"/>
      <name val="Franklin Gothic Book"/>
      <family val="2"/>
    </font>
    <font>
      <b/>
      <sz val="16"/>
      <color rgb="FF00A7AF"/>
      <name val="Franklin Gothic Book"/>
      <family val="2"/>
    </font>
    <font>
      <b/>
      <sz val="11"/>
      <color theme="0"/>
      <name val="Franklin Gothic Book"/>
      <family val="2"/>
    </font>
    <font>
      <sz val="11"/>
      <color rgb="FFE84563"/>
      <name val="Franklin Gothic Book"/>
      <family val="2"/>
    </font>
    <font>
      <b/>
      <sz val="16"/>
      <color rgb="FFE84563"/>
      <name val="Franklin Gothic Book"/>
      <family val="2"/>
    </font>
    <font>
      <b/>
      <sz val="10"/>
      <color theme="0"/>
      <name val="Franklin Gothic Book"/>
      <family val="2"/>
    </font>
    <font>
      <sz val="12"/>
      <color theme="0" tint="-4.9989318521683403E-2"/>
      <name val="Franklin Gothic Book"/>
      <family val="2"/>
    </font>
    <font>
      <b/>
      <sz val="8"/>
      <color theme="0" tint="-4.9989318521683403E-2"/>
      <name val="Franklin Gothic Book"/>
      <family val="2"/>
    </font>
    <font>
      <b/>
      <sz val="16"/>
      <color theme="0" tint="-4.9989318521683403E-2"/>
      <name val="Franklin Gothic Book"/>
      <family val="2"/>
    </font>
    <font>
      <sz val="16"/>
      <color theme="0" tint="-4.9989318521683403E-2"/>
      <name val="Franklin Gothic Book"/>
      <family val="2"/>
    </font>
    <font>
      <b/>
      <sz val="10"/>
      <color theme="0" tint="-4.9989318521683403E-2"/>
      <name val="Franklin Gothic Book"/>
      <family val="2"/>
    </font>
    <font>
      <b/>
      <sz val="8"/>
      <color theme="1"/>
      <name val="Daytona"/>
      <family val="2"/>
    </font>
    <font>
      <b/>
      <sz val="16"/>
      <color rgb="FF1D4851"/>
      <name val="Franklin Gothic Book"/>
      <family val="2"/>
    </font>
    <font>
      <u/>
      <sz val="16"/>
      <color rgb="FF1D4851"/>
      <name val="Calibri"/>
      <family val="2"/>
      <scheme val="minor"/>
    </font>
    <font>
      <b/>
      <sz val="9"/>
      <color rgb="FF1D4851"/>
      <name val="Franklin Gothic Book"/>
      <family val="2"/>
    </font>
  </fonts>
  <fills count="1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indexed="13"/>
        <bgColor indexed="64"/>
      </patternFill>
    </fill>
    <fill>
      <patternFill patternType="solid">
        <fgColor indexed="45"/>
        <bgColor indexed="64"/>
      </patternFill>
    </fill>
    <fill>
      <patternFill patternType="solid">
        <fgColor rgb="FFE84563"/>
        <bgColor indexed="64"/>
      </patternFill>
    </fill>
    <fill>
      <patternFill patternType="solid">
        <fgColor rgb="FF1D4851"/>
        <bgColor indexed="64"/>
      </patternFill>
    </fill>
    <fill>
      <patternFill patternType="solid">
        <fgColor rgb="FF14A89B"/>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style="double">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top style="thin">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bottom/>
      <diagonal/>
    </border>
    <border>
      <left/>
      <right/>
      <top/>
      <bottom style="thin">
        <color indexed="64"/>
      </bottom>
      <diagonal/>
    </border>
    <border>
      <left/>
      <right/>
      <top style="double">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top style="double">
        <color auto="1"/>
      </top>
      <bottom/>
      <diagonal/>
    </border>
    <border>
      <left style="thin">
        <color indexed="64"/>
      </left>
      <right style="thin">
        <color indexed="64"/>
      </right>
      <top style="thin">
        <color indexed="64"/>
      </top>
      <bottom style="medium">
        <color indexed="64"/>
      </bottom>
      <diagonal/>
    </border>
    <border>
      <left style="double">
        <color indexed="64"/>
      </left>
      <right/>
      <top/>
      <bottom style="thin">
        <color indexed="64"/>
      </bottom>
      <diagonal/>
    </border>
    <border>
      <left/>
      <right style="double">
        <color auto="1"/>
      </right>
      <top style="double">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double">
        <color auto="1"/>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right/>
      <top/>
      <bottom style="thick">
        <color indexed="64"/>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diagonal/>
    </border>
    <border>
      <left/>
      <right/>
      <top style="thin">
        <color indexed="64"/>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444">
    <xf numFmtId="0" fontId="0" fillId="0" borderId="0" xfId="0"/>
    <xf numFmtId="0" fontId="2" fillId="5" borderId="8" xfId="0" applyFont="1" applyFill="1" applyBorder="1" applyAlignment="1" applyProtection="1">
      <alignment horizontal="center" vertical="center"/>
      <protection locked="0"/>
    </xf>
    <xf numFmtId="0" fontId="0" fillId="2" borderId="7" xfId="0" applyFill="1" applyBorder="1" applyAlignment="1" applyProtection="1">
      <alignment vertical="center"/>
      <protection locked="0"/>
    </xf>
    <xf numFmtId="0" fontId="2" fillId="2" borderId="8" xfId="0" applyFont="1" applyFill="1" applyBorder="1" applyAlignment="1" applyProtection="1">
      <alignment horizontal="center" vertical="center"/>
      <protection locked="0"/>
    </xf>
    <xf numFmtId="0" fontId="5" fillId="0" borderId="0" xfId="0" applyFont="1"/>
    <xf numFmtId="0" fontId="0" fillId="2" borderId="0" xfId="0" applyFill="1"/>
    <xf numFmtId="0" fontId="0" fillId="0" borderId="0" xfId="0" applyAlignment="1">
      <alignment vertical="center"/>
    </xf>
    <xf numFmtId="0" fontId="3" fillId="0" borderId="27" xfId="0" applyFont="1" applyBorder="1"/>
    <xf numFmtId="0" fontId="0" fillId="0" borderId="24" xfId="0" applyBorder="1"/>
    <xf numFmtId="0" fontId="0" fillId="0" borderId="14" xfId="0" applyBorder="1"/>
    <xf numFmtId="0" fontId="0" fillId="0" borderId="4" xfId="0" applyBorder="1"/>
    <xf numFmtId="0" fontId="0" fillId="0" borderId="9" xfId="0" applyBorder="1" applyAlignment="1">
      <alignment horizontal="right"/>
    </xf>
    <xf numFmtId="0" fontId="0" fillId="7" borderId="9" xfId="0" applyFill="1" applyBorder="1"/>
    <xf numFmtId="0" fontId="0" fillId="7" borderId="4" xfId="0" applyFill="1" applyBorder="1"/>
    <xf numFmtId="0" fontId="0" fillId="7" borderId="1" xfId="0" applyFill="1" applyBorder="1"/>
    <xf numFmtId="0" fontId="0" fillId="0" borderId="4" xfId="0" applyBorder="1" applyAlignment="1">
      <alignment horizontal="center"/>
    </xf>
    <xf numFmtId="0" fontId="3" fillId="0" borderId="18" xfId="0" applyFont="1" applyBorder="1"/>
    <xf numFmtId="0" fontId="0" fillId="8" borderId="4" xfId="0" applyFill="1" applyBorder="1" applyAlignment="1">
      <alignment horizontal="center"/>
    </xf>
    <xf numFmtId="0" fontId="0" fillId="0" borderId="10" xfId="0" applyBorder="1"/>
    <xf numFmtId="0" fontId="0" fillId="7" borderId="4" xfId="0" applyFill="1" applyBorder="1" applyAlignment="1">
      <alignment horizontal="right"/>
    </xf>
    <xf numFmtId="0" fontId="4" fillId="7" borderId="4" xfId="0" applyFont="1" applyFill="1" applyBorder="1"/>
    <xf numFmtId="0" fontId="4" fillId="7" borderId="4" xfId="0" applyFont="1" applyFill="1" applyBorder="1" applyAlignment="1">
      <alignment horizontal="left"/>
    </xf>
    <xf numFmtId="0" fontId="8" fillId="0" borderId="29" xfId="0" applyFont="1" applyBorder="1" applyAlignment="1">
      <alignment vertical="center" wrapText="1"/>
    </xf>
    <xf numFmtId="0" fontId="7" fillId="0" borderId="30" xfId="0" applyFont="1" applyBorder="1" applyAlignment="1">
      <alignment vertical="center" wrapText="1"/>
    </xf>
    <xf numFmtId="0" fontId="7" fillId="0" borderId="31" xfId="0" applyFont="1" applyBorder="1" applyAlignment="1">
      <alignment vertical="center" wrapText="1"/>
    </xf>
    <xf numFmtId="0" fontId="7" fillId="0" borderId="32" xfId="0" applyFont="1" applyBorder="1" applyAlignment="1">
      <alignment vertical="center" wrapText="1"/>
    </xf>
    <xf numFmtId="0" fontId="7" fillId="0" borderId="30" xfId="0" applyFont="1" applyBorder="1" applyAlignment="1">
      <alignment horizontal="justify" vertical="center" wrapText="1"/>
    </xf>
    <xf numFmtId="0" fontId="7" fillId="0" borderId="31" xfId="0" applyFont="1" applyBorder="1" applyAlignment="1">
      <alignment horizontal="justify" vertical="center" wrapText="1"/>
    </xf>
    <xf numFmtId="0" fontId="8" fillId="0" borderId="32" xfId="0" applyFont="1" applyBorder="1" applyAlignment="1">
      <alignment vertical="center" wrapText="1"/>
    </xf>
    <xf numFmtId="0" fontId="9" fillId="0" borderId="30" xfId="0" applyFont="1" applyBorder="1" applyAlignment="1">
      <alignment vertical="center" wrapText="1"/>
    </xf>
    <xf numFmtId="0" fontId="8" fillId="0" borderId="31" xfId="0" applyFont="1"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9" fillId="0" borderId="31" xfId="0" applyFont="1" applyBorder="1" applyAlignment="1">
      <alignment vertical="center" wrapText="1"/>
    </xf>
    <xf numFmtId="0" fontId="11" fillId="0" borderId="0" xfId="0" applyFont="1" applyAlignment="1">
      <alignment horizontal="justify" vertical="center"/>
    </xf>
    <xf numFmtId="0" fontId="12" fillId="0" borderId="0" xfId="0" applyFont="1" applyAlignment="1">
      <alignment horizontal="justify" vertical="center"/>
    </xf>
    <xf numFmtId="0" fontId="13" fillId="0" borderId="0" xfId="0" applyFont="1" applyAlignment="1">
      <alignment horizontal="justify" vertical="center"/>
    </xf>
    <xf numFmtId="0" fontId="13" fillId="0" borderId="27" xfId="0" applyFont="1" applyBorder="1" applyAlignment="1">
      <alignment horizontal="justify" vertical="center" wrapText="1"/>
    </xf>
    <xf numFmtId="0" fontId="13" fillId="0" borderId="18" xfId="0" applyFont="1" applyBorder="1" applyAlignment="1">
      <alignment horizontal="justify" vertical="center" wrapText="1"/>
    </xf>
    <xf numFmtId="0" fontId="12" fillId="0" borderId="33" xfId="0" applyFont="1" applyBorder="1" applyAlignment="1">
      <alignment horizontal="justify" vertical="center" wrapText="1"/>
    </xf>
    <xf numFmtId="0" fontId="12" fillId="0" borderId="25" xfId="0" applyFont="1" applyBorder="1" applyAlignment="1">
      <alignment horizontal="justify" vertical="center" wrapText="1"/>
    </xf>
    <xf numFmtId="0" fontId="14" fillId="0" borderId="0" xfId="0" applyFont="1" applyAlignment="1">
      <alignment horizontal="justify" vertical="center"/>
    </xf>
    <xf numFmtId="0" fontId="16" fillId="0" borderId="0" xfId="0" applyFont="1" applyAlignment="1">
      <alignment horizontal="justify" vertical="center"/>
    </xf>
    <xf numFmtId="0" fontId="0" fillId="7" borderId="1" xfId="0" applyFill="1" applyBorder="1" applyAlignment="1">
      <alignment horizontal="right"/>
    </xf>
    <xf numFmtId="0" fontId="3" fillId="0" borderId="4" xfId="0" applyFont="1" applyBorder="1"/>
    <xf numFmtId="0" fontId="5" fillId="0" borderId="0" xfId="0" applyFont="1" applyAlignment="1">
      <alignment horizontal="right"/>
    </xf>
    <xf numFmtId="0" fontId="17" fillId="10" borderId="0" xfId="0" applyFont="1" applyFill="1"/>
    <xf numFmtId="0" fontId="21" fillId="2" borderId="0" xfId="0" applyFont="1" applyFill="1"/>
    <xf numFmtId="0" fontId="22" fillId="2" borderId="0" xfId="0" applyFont="1" applyFill="1"/>
    <xf numFmtId="2" fontId="22" fillId="2" borderId="0" xfId="0" applyNumberFormat="1" applyFont="1" applyFill="1"/>
    <xf numFmtId="0" fontId="17" fillId="2" borderId="0" xfId="0" applyFont="1" applyFill="1"/>
    <xf numFmtId="0" fontId="22" fillId="0" borderId="4" xfId="0" applyFont="1" applyBorder="1" applyAlignment="1">
      <alignment horizontal="center" vertical="center" wrapText="1"/>
    </xf>
    <xf numFmtId="2" fontId="22" fillId="0" borderId="4" xfId="0" applyNumberFormat="1" applyFont="1" applyBorder="1" applyAlignment="1">
      <alignment horizontal="center" vertical="center" wrapText="1"/>
    </xf>
    <xf numFmtId="0" fontId="22" fillId="2" borderId="0" xfId="0" applyFont="1" applyFill="1" applyAlignment="1">
      <alignment horizontal="center" vertical="center" wrapText="1"/>
    </xf>
    <xf numFmtId="0" fontId="17" fillId="2" borderId="0" xfId="0" applyFont="1" applyFill="1" applyAlignment="1">
      <alignment horizontal="center" vertical="center" wrapText="1"/>
    </xf>
    <xf numFmtId="14" fontId="22" fillId="10" borderId="4" xfId="0" applyNumberFormat="1" applyFont="1" applyFill="1" applyBorder="1" applyAlignment="1">
      <alignment horizontal="center"/>
    </xf>
    <xf numFmtId="1" fontId="22" fillId="0" borderId="4" xfId="0" applyNumberFormat="1" applyFont="1" applyBorder="1" applyAlignment="1">
      <alignment horizontal="center"/>
    </xf>
    <xf numFmtId="2" fontId="22" fillId="0" borderId="4" xfId="0" applyNumberFormat="1" applyFont="1" applyBorder="1" applyAlignment="1">
      <alignment horizontal="center"/>
    </xf>
    <xf numFmtId="2" fontId="22" fillId="10" borderId="4" xfId="0" applyNumberFormat="1" applyFont="1" applyFill="1" applyBorder="1" applyAlignment="1">
      <alignment horizontal="center"/>
    </xf>
    <xf numFmtId="1" fontId="22" fillId="11" borderId="4" xfId="0" applyNumberFormat="1" applyFont="1" applyFill="1" applyBorder="1" applyAlignment="1">
      <alignment horizontal="center"/>
    </xf>
    <xf numFmtId="10" fontId="22" fillId="2" borderId="0" xfId="3" applyNumberFormat="1" applyFont="1" applyFill="1" applyAlignment="1">
      <alignment horizontal="center"/>
    </xf>
    <xf numFmtId="0" fontId="17" fillId="2" borderId="0" xfId="0" applyFont="1" applyFill="1" applyAlignment="1">
      <alignment horizontal="center"/>
    </xf>
    <xf numFmtId="0" fontId="23" fillId="2" borderId="0" xfId="0" applyFont="1" applyFill="1"/>
    <xf numFmtId="0" fontId="18" fillId="2" borderId="0" xfId="0" applyFont="1" applyFill="1"/>
    <xf numFmtId="0" fontId="24" fillId="2" borderId="0" xfId="0" applyFont="1" applyFill="1"/>
    <xf numFmtId="2" fontId="18" fillId="2" borderId="0" xfId="0" applyNumberFormat="1" applyFont="1" applyFill="1"/>
    <xf numFmtId="2" fontId="23" fillId="2" borderId="0" xfId="0" applyNumberFormat="1" applyFont="1" applyFill="1"/>
    <xf numFmtId="0" fontId="25" fillId="2" borderId="0" xfId="0" applyFont="1" applyFill="1"/>
    <xf numFmtId="2" fontId="25" fillId="2" borderId="0" xfId="0" applyNumberFormat="1" applyFont="1" applyFill="1"/>
    <xf numFmtId="0" fontId="26" fillId="2" borderId="0" xfId="0" applyFont="1" applyFill="1"/>
    <xf numFmtId="0" fontId="27" fillId="2" borderId="0" xfId="0" applyFont="1" applyFill="1"/>
    <xf numFmtId="0" fontId="28" fillId="2" borderId="0" xfId="0" applyFont="1" applyFill="1"/>
    <xf numFmtId="0" fontId="17" fillId="0" borderId="0" xfId="0" applyFont="1"/>
    <xf numFmtId="0" fontId="29" fillId="2" borderId="0" xfId="0" applyFont="1" applyFill="1"/>
    <xf numFmtId="10" fontId="25" fillId="2" borderId="0" xfId="3" applyNumberFormat="1" applyFont="1" applyFill="1"/>
    <xf numFmtId="10" fontId="23" fillId="2" borderId="0" xfId="3" applyNumberFormat="1" applyFont="1" applyFill="1"/>
    <xf numFmtId="170" fontId="22" fillId="0" borderId="0" xfId="0" applyNumberFormat="1" applyFont="1"/>
    <xf numFmtId="1" fontId="22" fillId="0" borderId="0" xfId="0" applyNumberFormat="1" applyFont="1"/>
    <xf numFmtId="0" fontId="22" fillId="0" borderId="0" xfId="0" applyFont="1"/>
    <xf numFmtId="0" fontId="22" fillId="10" borderId="4" xfId="0" applyFont="1" applyFill="1" applyBorder="1" applyAlignment="1">
      <alignment horizontal="center"/>
    </xf>
    <xf numFmtId="1" fontId="22" fillId="10" borderId="4" xfId="0" applyNumberFormat="1" applyFont="1" applyFill="1" applyBorder="1" applyAlignment="1">
      <alignment horizontal="center"/>
    </xf>
    <xf numFmtId="170" fontId="22" fillId="2" borderId="0" xfId="0" applyNumberFormat="1" applyFont="1" applyFill="1"/>
    <xf numFmtId="1" fontId="22" fillId="2" borderId="0" xfId="0" applyNumberFormat="1" applyFont="1" applyFill="1"/>
    <xf numFmtId="168" fontId="22" fillId="0" borderId="4" xfId="0" applyNumberFormat="1" applyFont="1" applyBorder="1" applyAlignment="1">
      <alignment horizontal="center"/>
    </xf>
    <xf numFmtId="2" fontId="0" fillId="2" borderId="0" xfId="0" applyNumberFormat="1" applyFill="1"/>
    <xf numFmtId="0" fontId="29" fillId="0" borderId="0" xfId="0" applyFont="1"/>
    <xf numFmtId="2" fontId="0" fillId="0" borderId="0" xfId="0" applyNumberFormat="1"/>
    <xf numFmtId="0" fontId="28" fillId="0" borderId="0" xfId="0" applyFont="1"/>
    <xf numFmtId="0" fontId="30" fillId="7" borderId="0" xfId="0" applyFont="1" applyFill="1"/>
    <xf numFmtId="0" fontId="31" fillId="7" borderId="53" xfId="0" applyFont="1" applyFill="1" applyBorder="1" applyAlignment="1" applyProtection="1">
      <alignment wrapText="1"/>
      <protection hidden="1"/>
    </xf>
    <xf numFmtId="0" fontId="30" fillId="2" borderId="0" xfId="0" applyFont="1" applyFill="1"/>
    <xf numFmtId="0" fontId="30" fillId="0" borderId="0" xfId="0" applyFont="1"/>
    <xf numFmtId="0" fontId="32" fillId="7" borderId="0" xfId="0" applyFont="1" applyFill="1" applyAlignment="1">
      <alignment horizontal="center"/>
    </xf>
    <xf numFmtId="1" fontId="32" fillId="7" borderId="0" xfId="0" applyNumberFormat="1" applyFont="1" applyFill="1" applyAlignment="1">
      <alignment horizontal="center"/>
    </xf>
    <xf numFmtId="168" fontId="33" fillId="7" borderId="0" xfId="0" applyNumberFormat="1" applyFont="1" applyFill="1" applyAlignment="1">
      <alignment horizontal="center"/>
    </xf>
    <xf numFmtId="0" fontId="33" fillId="7" borderId="0" xfId="0" applyFont="1" applyFill="1" applyAlignment="1">
      <alignment horizontal="center"/>
    </xf>
    <xf numFmtId="1" fontId="33" fillId="7" borderId="0" xfId="0" applyNumberFormat="1" applyFont="1" applyFill="1" applyAlignment="1">
      <alignment horizontal="center"/>
    </xf>
    <xf numFmtId="0" fontId="34" fillId="7" borderId="0" xfId="0" applyFont="1" applyFill="1" applyAlignment="1" applyProtection="1">
      <alignment horizontal="center" vertical="center"/>
      <protection hidden="1"/>
    </xf>
    <xf numFmtId="0" fontId="34" fillId="2" borderId="0" xfId="0" applyFont="1" applyFill="1" applyAlignment="1" applyProtection="1">
      <alignment horizontal="center" vertical="center"/>
      <protection hidden="1"/>
    </xf>
    <xf numFmtId="0" fontId="35" fillId="7" borderId="0" xfId="0" applyFont="1" applyFill="1" applyAlignment="1">
      <alignment horizontal="left"/>
    </xf>
    <xf numFmtId="0" fontId="30" fillId="0" borderId="64" xfId="0" applyFont="1" applyBorder="1"/>
    <xf numFmtId="0" fontId="30" fillId="7" borderId="0" xfId="0" applyFont="1" applyFill="1" applyProtection="1">
      <protection hidden="1"/>
    </xf>
    <xf numFmtId="0" fontId="37" fillId="7" borderId="0" xfId="0" applyFont="1" applyFill="1" applyProtection="1">
      <protection hidden="1"/>
    </xf>
    <xf numFmtId="0" fontId="37" fillId="7" borderId="4" xfId="0" applyFont="1" applyFill="1" applyBorder="1" applyProtection="1">
      <protection hidden="1"/>
    </xf>
    <xf numFmtId="0" fontId="37" fillId="7" borderId="5" xfId="0" applyFont="1" applyFill="1" applyBorder="1"/>
    <xf numFmtId="0" fontId="37" fillId="7" borderId="4" xfId="0" applyFont="1" applyFill="1" applyBorder="1" applyAlignment="1">
      <alignment horizontal="left" shrinkToFit="1"/>
    </xf>
    <xf numFmtId="0" fontId="38" fillId="2" borderId="0" xfId="0" applyFont="1" applyFill="1" applyAlignment="1" applyProtection="1">
      <alignment horizontal="center" vertical="center"/>
      <protection hidden="1"/>
    </xf>
    <xf numFmtId="0" fontId="39" fillId="7" borderId="0" xfId="0" applyFont="1" applyFill="1" applyAlignment="1">
      <alignment horizontal="left"/>
    </xf>
    <xf numFmtId="0" fontId="30" fillId="2" borderId="0" xfId="0" applyFont="1" applyFill="1" applyAlignment="1" applyProtection="1">
      <alignment horizontal="center" vertical="center"/>
      <protection hidden="1"/>
    </xf>
    <xf numFmtId="2" fontId="42" fillId="2" borderId="0" xfId="0" applyNumberFormat="1" applyFont="1" applyFill="1" applyAlignment="1" applyProtection="1">
      <alignment vertical="center" wrapText="1"/>
      <protection hidden="1"/>
    </xf>
    <xf numFmtId="2" fontId="38" fillId="2" borderId="0" xfId="0" applyNumberFormat="1" applyFont="1" applyFill="1" applyAlignment="1" applyProtection="1">
      <alignment horizontal="center" vertical="center"/>
      <protection hidden="1"/>
    </xf>
    <xf numFmtId="2" fontId="46" fillId="7" borderId="0" xfId="0" applyNumberFormat="1" applyFont="1" applyFill="1" applyAlignment="1">
      <alignment shrinkToFit="1"/>
    </xf>
    <xf numFmtId="167" fontId="46" fillId="7" borderId="0" xfId="0" applyNumberFormat="1" applyFont="1" applyFill="1"/>
    <xf numFmtId="4" fontId="38" fillId="2" borderId="4" xfId="0" applyNumberFormat="1" applyFont="1" applyFill="1" applyBorder="1" applyAlignment="1" applyProtection="1">
      <alignment horizontal="left" vertical="center"/>
      <protection locked="0" hidden="1"/>
    </xf>
    <xf numFmtId="2" fontId="47" fillId="7" borderId="0" xfId="0" applyNumberFormat="1" applyFont="1" applyFill="1" applyProtection="1">
      <protection hidden="1"/>
    </xf>
    <xf numFmtId="0" fontId="46" fillId="7" borderId="0" xfId="0" applyFont="1" applyFill="1"/>
    <xf numFmtId="0" fontId="47" fillId="7" borderId="0" xfId="0" applyFont="1" applyFill="1" applyProtection="1">
      <protection hidden="1"/>
    </xf>
    <xf numFmtId="0" fontId="36" fillId="7" borderId="0" xfId="0" applyFont="1" applyFill="1" applyProtection="1">
      <protection hidden="1"/>
    </xf>
    <xf numFmtId="3" fontId="38" fillId="7" borderId="0" xfId="0" applyNumberFormat="1" applyFont="1" applyFill="1" applyAlignment="1" applyProtection="1">
      <alignment horizontal="left"/>
      <protection locked="0" hidden="1"/>
    </xf>
    <xf numFmtId="0" fontId="36" fillId="7" borderId="15" xfId="0" applyFont="1" applyFill="1" applyBorder="1" applyProtection="1">
      <protection hidden="1"/>
    </xf>
    <xf numFmtId="2" fontId="36" fillId="7" borderId="0" xfId="0" applyNumberFormat="1" applyFont="1" applyFill="1" applyAlignment="1" applyProtection="1">
      <alignment horizontal="right"/>
      <protection hidden="1"/>
    </xf>
    <xf numFmtId="1" fontId="47" fillId="2" borderId="4" xfId="0" applyNumberFormat="1" applyFont="1" applyFill="1" applyBorder="1" applyAlignment="1" applyProtection="1">
      <alignment horizontal="center"/>
      <protection hidden="1"/>
    </xf>
    <xf numFmtId="1" fontId="47" fillId="2" borderId="4" xfId="0" applyNumberFormat="1" applyFont="1" applyFill="1" applyBorder="1" applyAlignment="1">
      <alignment horizontal="center" shrinkToFit="1"/>
    </xf>
    <xf numFmtId="0" fontId="49" fillId="7" borderId="0" xfId="0" applyFont="1" applyFill="1"/>
    <xf numFmtId="165" fontId="49" fillId="7" borderId="0" xfId="1" applyNumberFormat="1" applyFont="1" applyFill="1" applyAlignment="1">
      <alignment horizontal="right"/>
    </xf>
    <xf numFmtId="165" fontId="45" fillId="7" borderId="0" xfId="0" applyNumberFormat="1" applyFont="1" applyFill="1"/>
    <xf numFmtId="0" fontId="47" fillId="7" borderId="0" xfId="0" applyFont="1" applyFill="1"/>
    <xf numFmtId="0" fontId="49" fillId="7" borderId="0" xfId="0" applyFont="1" applyFill="1" applyAlignment="1">
      <alignment horizontal="right"/>
    </xf>
    <xf numFmtId="0" fontId="50" fillId="7" borderId="35" xfId="0" applyFont="1" applyFill="1" applyBorder="1" applyAlignment="1">
      <alignment vertical="center"/>
    </xf>
    <xf numFmtId="0" fontId="51" fillId="7" borderId="0" xfId="0" applyFont="1" applyFill="1" applyAlignment="1">
      <alignment vertical="center"/>
    </xf>
    <xf numFmtId="0" fontId="52" fillId="7" borderId="0" xfId="2" applyFont="1" applyFill="1" applyAlignment="1">
      <alignment vertical="center" shrinkToFit="1"/>
    </xf>
    <xf numFmtId="1" fontId="52" fillId="7" borderId="0" xfId="2" applyNumberFormat="1" applyFont="1" applyFill="1" applyAlignment="1">
      <alignment horizontal="center" vertical="center" shrinkToFit="1"/>
    </xf>
    <xf numFmtId="1" fontId="37" fillId="7" borderId="6" xfId="0" applyNumberFormat="1" applyFont="1" applyFill="1" applyBorder="1" applyAlignment="1">
      <alignment vertical="center"/>
    </xf>
    <xf numFmtId="1" fontId="37" fillId="7" borderId="0" xfId="0" applyNumberFormat="1" applyFont="1" applyFill="1"/>
    <xf numFmtId="1" fontId="46" fillId="7" borderId="0" xfId="0" applyNumberFormat="1" applyFont="1" applyFill="1"/>
    <xf numFmtId="1" fontId="46" fillId="7" borderId="0" xfId="0" applyNumberFormat="1" applyFont="1" applyFill="1" applyAlignment="1">
      <alignment horizontal="center"/>
    </xf>
    <xf numFmtId="0" fontId="53" fillId="7" borderId="54" xfId="0" applyFont="1" applyFill="1" applyBorder="1"/>
    <xf numFmtId="5" fontId="38" fillId="7" borderId="0" xfId="0" applyNumberFormat="1" applyFont="1" applyFill="1"/>
    <xf numFmtId="1" fontId="47" fillId="7" borderId="0" xfId="0" applyNumberFormat="1" applyFont="1" applyFill="1" applyAlignment="1">
      <alignment horizontal="center"/>
    </xf>
    <xf numFmtId="0" fontId="50" fillId="7" borderId="15" xfId="0" applyFont="1" applyFill="1" applyBorder="1"/>
    <xf numFmtId="0" fontId="51" fillId="7" borderId="15" xfId="0" applyFont="1" applyFill="1" applyBorder="1"/>
    <xf numFmtId="0" fontId="50" fillId="7" borderId="0" xfId="0" applyFont="1" applyFill="1"/>
    <xf numFmtId="1" fontId="47" fillId="7" borderId="0" xfId="0" applyNumberFormat="1" applyFont="1" applyFill="1"/>
    <xf numFmtId="5" fontId="37" fillId="7" borderId="6" xfId="0" applyNumberFormat="1" applyFont="1" applyFill="1" applyBorder="1" applyAlignment="1">
      <alignment horizontal="center"/>
    </xf>
    <xf numFmtId="0" fontId="36" fillId="7" borderId="0" xfId="0" applyFont="1" applyFill="1"/>
    <xf numFmtId="165" fontId="36" fillId="7" borderId="0" xfId="0" applyNumberFormat="1" applyFont="1" applyFill="1" applyAlignment="1">
      <alignment horizontal="right"/>
    </xf>
    <xf numFmtId="5" fontId="37" fillId="7" borderId="0" xfId="0" applyNumberFormat="1" applyFont="1" applyFill="1" applyAlignment="1">
      <alignment horizontal="center"/>
    </xf>
    <xf numFmtId="0" fontId="51" fillId="7" borderId="6" xfId="0" applyFont="1" applyFill="1" applyBorder="1" applyAlignment="1">
      <alignment horizontal="left" vertical="center"/>
    </xf>
    <xf numFmtId="0" fontId="54" fillId="7" borderId="15" xfId="0" applyFont="1" applyFill="1" applyBorder="1" applyAlignment="1">
      <alignment horizontal="left" vertical="center"/>
    </xf>
    <xf numFmtId="0" fontId="54" fillId="7" borderId="0" xfId="0" applyFont="1" applyFill="1" applyAlignment="1">
      <alignment horizontal="left" vertical="center"/>
    </xf>
    <xf numFmtId="0" fontId="50" fillId="7" borderId="6" xfId="0" applyFont="1" applyFill="1" applyBorder="1" applyAlignment="1">
      <alignment horizontal="left" vertical="center"/>
    </xf>
    <xf numFmtId="0" fontId="55" fillId="7" borderId="4" xfId="0" applyFont="1" applyFill="1" applyBorder="1" applyAlignment="1">
      <alignment horizontal="center"/>
    </xf>
    <xf numFmtId="0" fontId="55" fillId="7" borderId="5" xfId="0" applyFont="1" applyFill="1" applyBorder="1" applyAlignment="1">
      <alignment horizontal="center"/>
    </xf>
    <xf numFmtId="0" fontId="55" fillId="7" borderId="4" xfId="0" applyFont="1" applyFill="1" applyBorder="1"/>
    <xf numFmtId="0" fontId="56" fillId="7" borderId="0" xfId="0" applyFont="1" applyFill="1" applyAlignment="1">
      <alignment horizontal="right"/>
    </xf>
    <xf numFmtId="0" fontId="56" fillId="7" borderId="0" xfId="0" applyFont="1" applyFill="1"/>
    <xf numFmtId="0" fontId="36" fillId="12" borderId="0" xfId="0" applyFont="1" applyFill="1"/>
    <xf numFmtId="165" fontId="36" fillId="12" borderId="0" xfId="0" applyNumberFormat="1" applyFont="1" applyFill="1" applyAlignment="1">
      <alignment horizontal="right"/>
    </xf>
    <xf numFmtId="0" fontId="53" fillId="7" borderId="0" xfId="0" applyFont="1" applyFill="1"/>
    <xf numFmtId="165" fontId="38" fillId="7" borderId="0" xfId="0" applyNumberFormat="1" applyFont="1" applyFill="1" applyAlignment="1">
      <alignment horizontal="right"/>
    </xf>
    <xf numFmtId="5" fontId="38" fillId="7" borderId="0" xfId="0" applyNumberFormat="1" applyFont="1" applyFill="1" applyAlignment="1">
      <alignment horizontal="center"/>
    </xf>
    <xf numFmtId="1" fontId="56" fillId="7" borderId="0" xfId="0" applyNumberFormat="1" applyFont="1" applyFill="1"/>
    <xf numFmtId="1" fontId="56" fillId="7" borderId="0" xfId="0" applyNumberFormat="1" applyFont="1" applyFill="1" applyAlignment="1">
      <alignment horizontal="center"/>
    </xf>
    <xf numFmtId="0" fontId="53" fillId="7" borderId="11" xfId="0" applyFont="1" applyFill="1" applyBorder="1"/>
    <xf numFmtId="5" fontId="38" fillId="7" borderId="54" xfId="0" applyNumberFormat="1" applyFont="1" applyFill="1" applyBorder="1" applyAlignment="1">
      <alignment horizontal="left"/>
    </xf>
    <xf numFmtId="0" fontId="55" fillId="7" borderId="36" xfId="0" applyFont="1" applyFill="1" applyBorder="1"/>
    <xf numFmtId="5" fontId="55" fillId="7" borderId="26" xfId="0" applyNumberFormat="1" applyFont="1" applyFill="1" applyBorder="1" applyAlignment="1">
      <alignment horizontal="center"/>
    </xf>
    <xf numFmtId="0" fontId="55" fillId="7" borderId="37" xfId="0" applyFont="1" applyFill="1" applyBorder="1" applyAlignment="1">
      <alignment horizontal="center" vertical="center"/>
    </xf>
    <xf numFmtId="1" fontId="57" fillId="7" borderId="0" xfId="0" applyNumberFormat="1" applyFont="1" applyFill="1"/>
    <xf numFmtId="1" fontId="57" fillId="7" borderId="0" xfId="0" applyNumberFormat="1" applyFont="1" applyFill="1" applyAlignment="1">
      <alignment horizontal="center"/>
    </xf>
    <xf numFmtId="0" fontId="57" fillId="7" borderId="0" xfId="0" applyFont="1" applyFill="1"/>
    <xf numFmtId="0" fontId="58" fillId="7" borderId="0" xfId="0" applyFont="1" applyFill="1"/>
    <xf numFmtId="0" fontId="59" fillId="7" borderId="0" xfId="0" applyFont="1" applyFill="1"/>
    <xf numFmtId="1" fontId="59" fillId="7" borderId="0" xfId="0" applyNumberFormat="1" applyFont="1" applyFill="1"/>
    <xf numFmtId="0" fontId="55" fillId="7" borderId="17" xfId="0" applyFont="1" applyFill="1" applyBorder="1"/>
    <xf numFmtId="169" fontId="55" fillId="7" borderId="26" xfId="0" applyNumberFormat="1" applyFont="1" applyFill="1" applyBorder="1" applyAlignment="1">
      <alignment horizontal="center"/>
    </xf>
    <xf numFmtId="0" fontId="60" fillId="7" borderId="0" xfId="2" applyFont="1" applyFill="1"/>
    <xf numFmtId="0" fontId="60" fillId="2" borderId="0" xfId="2" applyFont="1" applyFill="1"/>
    <xf numFmtId="0" fontId="61" fillId="7" borderId="0" xfId="0" applyFont="1" applyFill="1"/>
    <xf numFmtId="0" fontId="62" fillId="7" borderId="0" xfId="2" applyFont="1" applyFill="1"/>
    <xf numFmtId="0" fontId="63" fillId="7" borderId="0" xfId="0" applyFont="1" applyFill="1"/>
    <xf numFmtId="165" fontId="64" fillId="7" borderId="0" xfId="0" applyNumberFormat="1" applyFont="1" applyFill="1"/>
    <xf numFmtId="9" fontId="64" fillId="7" borderId="0" xfId="0" applyNumberFormat="1" applyFont="1" applyFill="1" applyAlignment="1">
      <alignment horizontal="right"/>
    </xf>
    <xf numFmtId="0" fontId="65" fillId="7" borderId="0" xfId="0" applyFont="1" applyFill="1"/>
    <xf numFmtId="0" fontId="66" fillId="7" borderId="0" xfId="0" applyFont="1" applyFill="1"/>
    <xf numFmtId="0" fontId="52" fillId="7" borderId="0" xfId="2" applyFont="1" applyFill="1"/>
    <xf numFmtId="0" fontId="52" fillId="7" borderId="0" xfId="2" applyFont="1" applyFill="1" applyAlignment="1">
      <alignment vertical="center"/>
    </xf>
    <xf numFmtId="0" fontId="38" fillId="7" borderId="0" xfId="0" applyFont="1" applyFill="1"/>
    <xf numFmtId="165" fontId="49" fillId="7" borderId="0" xfId="0" applyNumberFormat="1" applyFont="1" applyFill="1"/>
    <xf numFmtId="166" fontId="49" fillId="7" borderId="0" xfId="0" applyNumberFormat="1" applyFont="1" applyFill="1" applyAlignment="1">
      <alignment horizontal="right"/>
    </xf>
    <xf numFmtId="0" fontId="65" fillId="7" borderId="0" xfId="2" applyFont="1" applyFill="1"/>
    <xf numFmtId="0" fontId="67" fillId="7" borderId="0" xfId="2" applyFont="1" applyFill="1"/>
    <xf numFmtId="0" fontId="68" fillId="7" borderId="0" xfId="2" applyFont="1" applyFill="1"/>
    <xf numFmtId="0" fontId="69" fillId="5" borderId="15" xfId="2" applyFont="1" applyFill="1" applyBorder="1" applyAlignment="1">
      <alignment horizontal="center" vertical="center" wrapText="1"/>
    </xf>
    <xf numFmtId="0" fontId="53" fillId="5" borderId="9" xfId="0" applyFont="1" applyFill="1" applyBorder="1" applyAlignment="1">
      <alignment horizontal="left"/>
    </xf>
    <xf numFmtId="1" fontId="49" fillId="7" borderId="0" xfId="0" applyNumberFormat="1" applyFont="1" applyFill="1"/>
    <xf numFmtId="1" fontId="70" fillId="7" borderId="0" xfId="0" applyNumberFormat="1" applyFont="1" applyFill="1" applyAlignment="1">
      <alignment horizontal="center" wrapText="1" shrinkToFit="1"/>
    </xf>
    <xf numFmtId="0" fontId="53" fillId="5" borderId="0" xfId="0" applyFont="1" applyFill="1"/>
    <xf numFmtId="2" fontId="38" fillId="2" borderId="28" xfId="0" applyNumberFormat="1" applyFont="1" applyFill="1" applyBorder="1" applyAlignment="1">
      <alignment horizontal="left"/>
    </xf>
    <xf numFmtId="2" fontId="38" fillId="4" borderId="28" xfId="0" applyNumberFormat="1" applyFont="1" applyFill="1" applyBorder="1"/>
    <xf numFmtId="0" fontId="71" fillId="5" borderId="17" xfId="0" applyFont="1" applyFill="1" applyBorder="1"/>
    <xf numFmtId="2" fontId="38" fillId="5" borderId="38" xfId="0" applyNumberFormat="1" applyFont="1" applyFill="1" applyBorder="1" applyAlignment="1">
      <alignment horizontal="center"/>
    </xf>
    <xf numFmtId="2" fontId="38" fillId="5" borderId="37" xfId="0" applyNumberFormat="1" applyFont="1" applyFill="1" applyBorder="1" applyAlignment="1">
      <alignment horizontal="center"/>
    </xf>
    <xf numFmtId="0" fontId="53" fillId="5" borderId="9" xfId="0" applyFont="1" applyFill="1" applyBorder="1"/>
    <xf numFmtId="39" fontId="49" fillId="4" borderId="52" xfId="0" applyNumberFormat="1" applyFont="1" applyFill="1" applyBorder="1"/>
    <xf numFmtId="9" fontId="49" fillId="4" borderId="28" xfId="0" applyNumberFormat="1" applyFont="1" applyFill="1" applyBorder="1" applyAlignment="1">
      <alignment horizontal="right"/>
    </xf>
    <xf numFmtId="167" fontId="56" fillId="7" borderId="0" xfId="0" applyNumberFormat="1" applyFont="1" applyFill="1"/>
    <xf numFmtId="0" fontId="53" fillId="5" borderId="4" xfId="0" applyFont="1" applyFill="1" applyBorder="1"/>
    <xf numFmtId="39" fontId="49" fillId="4" borderId="50" xfId="0" applyNumberFormat="1" applyFont="1" applyFill="1" applyBorder="1"/>
    <xf numFmtId="0" fontId="53" fillId="5" borderId="5" xfId="0" applyFont="1" applyFill="1" applyBorder="1"/>
    <xf numFmtId="39" fontId="49" fillId="2" borderId="50" xfId="0" applyNumberFormat="1" applyFont="1" applyFill="1" applyBorder="1"/>
    <xf numFmtId="0" fontId="65" fillId="5" borderId="5" xfId="0" applyFont="1" applyFill="1" applyBorder="1"/>
    <xf numFmtId="39" fontId="49" fillId="4" borderId="28" xfId="0" applyNumberFormat="1" applyFont="1" applyFill="1" applyBorder="1" applyAlignment="1">
      <alignment horizontal="right"/>
    </xf>
    <xf numFmtId="9" fontId="49" fillId="4" borderId="40" xfId="0" applyNumberFormat="1" applyFont="1" applyFill="1" applyBorder="1" applyAlignment="1">
      <alignment horizontal="right"/>
    </xf>
    <xf numFmtId="0" fontId="56" fillId="7" borderId="0" xfId="0" applyFont="1" applyFill="1" applyAlignment="1">
      <alignment horizontal="center" vertical="center" wrapText="1"/>
    </xf>
    <xf numFmtId="0" fontId="72" fillId="5" borderId="17" xfId="0" applyFont="1" applyFill="1" applyBorder="1"/>
    <xf numFmtId="0" fontId="53" fillId="5" borderId="10" xfId="0" applyFont="1" applyFill="1" applyBorder="1"/>
    <xf numFmtId="169" fontId="73" fillId="4" borderId="39" xfId="0" applyNumberFormat="1" applyFont="1" applyFill="1" applyBorder="1" applyAlignment="1">
      <alignment horizontal="right"/>
    </xf>
    <xf numFmtId="9" fontId="73" fillId="4" borderId="39" xfId="0" applyNumberFormat="1" applyFont="1" applyFill="1" applyBorder="1" applyAlignment="1">
      <alignment horizontal="right"/>
    </xf>
    <xf numFmtId="169" fontId="73" fillId="2" borderId="50" xfId="0" applyNumberFormat="1" applyFont="1" applyFill="1" applyBorder="1"/>
    <xf numFmtId="9" fontId="73" fillId="4" borderId="28" xfId="0" applyNumberFormat="1" applyFont="1" applyFill="1" applyBorder="1" applyAlignment="1">
      <alignment horizontal="right"/>
    </xf>
    <xf numFmtId="0" fontId="53" fillId="5" borderId="1" xfId="0" applyFont="1" applyFill="1" applyBorder="1"/>
    <xf numFmtId="169" fontId="73" fillId="2" borderId="50" xfId="0" applyNumberFormat="1" applyFont="1" applyFill="1" applyBorder="1" applyAlignment="1">
      <alignment horizontal="right"/>
    </xf>
    <xf numFmtId="0" fontId="74" fillId="5" borderId="11" xfId="0" applyFont="1" applyFill="1" applyBorder="1"/>
    <xf numFmtId="0" fontId="65" fillId="5" borderId="44" xfId="0" applyFont="1" applyFill="1" applyBorder="1"/>
    <xf numFmtId="169" fontId="73" fillId="4" borderId="9" xfId="0" applyNumberFormat="1" applyFont="1" applyFill="1" applyBorder="1" applyAlignment="1">
      <alignment horizontal="right"/>
    </xf>
    <xf numFmtId="9" fontId="73" fillId="4" borderId="20" xfId="0" applyNumberFormat="1" applyFont="1" applyFill="1" applyBorder="1" applyAlignment="1">
      <alignment horizontal="right"/>
    </xf>
    <xf numFmtId="165" fontId="49" fillId="7" borderId="0" xfId="0" applyNumberFormat="1" applyFont="1" applyFill="1" applyAlignment="1">
      <alignment horizontal="right"/>
    </xf>
    <xf numFmtId="9" fontId="75" fillId="7" borderId="0" xfId="0" applyNumberFormat="1" applyFont="1" applyFill="1" applyAlignment="1">
      <alignment horizontal="right"/>
    </xf>
    <xf numFmtId="0" fontId="53" fillId="5" borderId="46" xfId="0" applyFont="1" applyFill="1" applyBorder="1"/>
    <xf numFmtId="39" fontId="37" fillId="5" borderId="45" xfId="0" applyNumberFormat="1" applyFont="1" applyFill="1" applyBorder="1"/>
    <xf numFmtId="9" fontId="37" fillId="5" borderId="45" xfId="0" applyNumberFormat="1" applyFont="1" applyFill="1" applyBorder="1" applyAlignment="1">
      <alignment horizontal="right"/>
    </xf>
    <xf numFmtId="0" fontId="76" fillId="7" borderId="0" xfId="0" applyFont="1" applyFill="1"/>
    <xf numFmtId="0" fontId="77" fillId="7" borderId="0" xfId="0" applyFont="1" applyFill="1"/>
    <xf numFmtId="9" fontId="49" fillId="7" borderId="0" xfId="0" applyNumberFormat="1" applyFont="1" applyFill="1" applyAlignment="1">
      <alignment horizontal="right"/>
    </xf>
    <xf numFmtId="0" fontId="60" fillId="7" borderId="0" xfId="2" applyFont="1" applyFill="1" applyAlignment="1">
      <alignment vertical="top"/>
    </xf>
    <xf numFmtId="0" fontId="74" fillId="9" borderId="23" xfId="0" applyFont="1" applyFill="1" applyBorder="1"/>
    <xf numFmtId="0" fontId="78" fillId="5" borderId="6" xfId="0" applyFont="1" applyFill="1" applyBorder="1"/>
    <xf numFmtId="0" fontId="56" fillId="7" borderId="0" xfId="0" applyFont="1" applyFill="1" applyAlignment="1">
      <alignment horizontal="center"/>
    </xf>
    <xf numFmtId="0" fontId="80" fillId="7" borderId="0" xfId="0" applyFont="1" applyFill="1" applyAlignment="1">
      <alignment horizontal="center"/>
    </xf>
    <xf numFmtId="0" fontId="41" fillId="12" borderId="4" xfId="0" applyFont="1" applyFill="1" applyBorder="1" applyAlignment="1" applyProtection="1">
      <alignment vertical="center"/>
      <protection hidden="1"/>
    </xf>
    <xf numFmtId="0" fontId="55" fillId="7" borderId="9" xfId="0" applyFont="1" applyFill="1" applyBorder="1" applyAlignment="1" applyProtection="1">
      <alignment vertical="center"/>
      <protection hidden="1"/>
    </xf>
    <xf numFmtId="0" fontId="55" fillId="7" borderId="9" xfId="0" applyFont="1" applyFill="1" applyBorder="1" applyAlignment="1">
      <alignment horizontal="center"/>
    </xf>
    <xf numFmtId="0" fontId="45" fillId="7" borderId="6" xfId="0" applyFont="1" applyFill="1" applyBorder="1"/>
    <xf numFmtId="0" fontId="46" fillId="7" borderId="6" xfId="0" applyFont="1" applyFill="1" applyBorder="1" applyAlignment="1">
      <alignment horizontal="center"/>
    </xf>
    <xf numFmtId="0" fontId="45" fillId="7" borderId="6" xfId="0" applyFont="1" applyFill="1" applyBorder="1" applyAlignment="1">
      <alignment horizontal="center"/>
    </xf>
    <xf numFmtId="166" fontId="81" fillId="7" borderId="0" xfId="0" applyNumberFormat="1" applyFont="1" applyFill="1"/>
    <xf numFmtId="1" fontId="56" fillId="7" borderId="0" xfId="0" applyNumberFormat="1" applyFont="1" applyFill="1" applyAlignment="1">
      <alignment vertical="center"/>
    </xf>
    <xf numFmtId="0" fontId="45" fillId="7" borderId="0" xfId="0" applyFont="1" applyFill="1" applyProtection="1">
      <protection hidden="1"/>
    </xf>
    <xf numFmtId="2" fontId="45" fillId="7" borderId="0" xfId="0" applyNumberFormat="1" applyFont="1" applyFill="1"/>
    <xf numFmtId="0" fontId="84" fillId="7" borderId="0" xfId="0" applyFont="1" applyFill="1"/>
    <xf numFmtId="0" fontId="45" fillId="7" borderId="0" xfId="0" applyFont="1" applyFill="1" applyAlignment="1" applyProtection="1">
      <alignment horizontal="center"/>
      <protection hidden="1"/>
    </xf>
    <xf numFmtId="0" fontId="85" fillId="7" borderId="0" xfId="0" applyFont="1" applyFill="1"/>
    <xf numFmtId="2" fontId="85" fillId="7" borderId="0" xfId="0" applyNumberFormat="1" applyFont="1" applyFill="1" applyAlignment="1">
      <alignment horizontal="right"/>
    </xf>
    <xf numFmtId="0" fontId="33" fillId="7" borderId="0" xfId="0" applyFont="1" applyFill="1"/>
    <xf numFmtId="0" fontId="46" fillId="7" borderId="0" xfId="0" applyFont="1" applyFill="1" applyAlignment="1">
      <alignment horizontal="left" shrinkToFit="1"/>
    </xf>
    <xf numFmtId="0" fontId="86" fillId="7" borderId="0" xfId="0" applyFont="1" applyFill="1" applyAlignment="1">
      <alignment horizontal="center"/>
    </xf>
    <xf numFmtId="0" fontId="83" fillId="7" borderId="0" xfId="0" applyFont="1" applyFill="1" applyProtection="1">
      <protection hidden="1"/>
    </xf>
    <xf numFmtId="0" fontId="45" fillId="7" borderId="0" xfId="0" applyFont="1" applyFill="1" applyAlignment="1" applyProtection="1">
      <alignment vertical="center"/>
      <protection hidden="1"/>
    </xf>
    <xf numFmtId="0" fontId="46" fillId="7" borderId="0" xfId="0" applyFont="1" applyFill="1" applyAlignment="1" applyProtection="1">
      <alignment vertical="center"/>
      <protection hidden="1"/>
    </xf>
    <xf numFmtId="167" fontId="87" fillId="7" borderId="0" xfId="0" applyNumberFormat="1" applyFont="1" applyFill="1"/>
    <xf numFmtId="167" fontId="87" fillId="7" borderId="0" xfId="0" applyNumberFormat="1" applyFont="1" applyFill="1" applyProtection="1">
      <protection hidden="1"/>
    </xf>
    <xf numFmtId="167" fontId="87" fillId="7" borderId="0" xfId="0" applyNumberFormat="1" applyFont="1" applyFill="1" applyAlignment="1" applyProtection="1">
      <alignment horizontal="right"/>
      <protection hidden="1"/>
    </xf>
    <xf numFmtId="5" fontId="45" fillId="7" borderId="6" xfId="0" applyNumberFormat="1" applyFont="1" applyFill="1" applyBorder="1"/>
    <xf numFmtId="167" fontId="87" fillId="7" borderId="0" xfId="0" applyNumberFormat="1" applyFont="1" applyFill="1" applyAlignment="1">
      <alignment shrinkToFit="1"/>
    </xf>
    <xf numFmtId="7" fontId="30" fillId="7" borderId="0" xfId="0" applyNumberFormat="1" applyFont="1" applyFill="1" applyProtection="1">
      <protection hidden="1"/>
    </xf>
    <xf numFmtId="1" fontId="45" fillId="7" borderId="6" xfId="0" applyNumberFormat="1" applyFont="1" applyFill="1" applyBorder="1" applyAlignment="1">
      <alignment vertical="center"/>
    </xf>
    <xf numFmtId="1" fontId="45" fillId="7" borderId="0" xfId="0" applyNumberFormat="1" applyFont="1" applyFill="1"/>
    <xf numFmtId="1" fontId="88" fillId="7" borderId="0" xfId="0" applyNumberFormat="1" applyFont="1" applyFill="1" applyAlignment="1">
      <alignment horizontal="center" wrapText="1" shrinkToFit="1"/>
    </xf>
    <xf numFmtId="2" fontId="45" fillId="7" borderId="6" xfId="0" applyNumberFormat="1" applyFont="1" applyFill="1" applyBorder="1" applyAlignment="1">
      <alignment vertical="center"/>
    </xf>
    <xf numFmtId="0" fontId="45" fillId="7" borderId="0" xfId="0" applyFont="1" applyFill="1"/>
    <xf numFmtId="0" fontId="49" fillId="7" borderId="6" xfId="0" applyFont="1" applyFill="1" applyBorder="1" applyAlignment="1" applyProtection="1">
      <alignment vertical="center" wrapText="1"/>
      <protection hidden="1"/>
    </xf>
    <xf numFmtId="0" fontId="84" fillId="7" borderId="6" xfId="0" applyFont="1" applyFill="1" applyBorder="1" applyAlignment="1">
      <alignment vertical="center" wrapText="1"/>
    </xf>
    <xf numFmtId="0" fontId="37" fillId="7" borderId="0" xfId="0" applyFont="1" applyFill="1" applyAlignment="1" applyProtection="1">
      <alignment horizontal="center"/>
      <protection hidden="1"/>
    </xf>
    <xf numFmtId="0" fontId="47" fillId="7" borderId="0" xfId="0" applyFont="1" applyFill="1" applyAlignment="1" applyProtection="1">
      <alignment vertical="center"/>
      <protection hidden="1"/>
    </xf>
    <xf numFmtId="0" fontId="37" fillId="7" borderId="0" xfId="0" applyFont="1" applyFill="1" applyAlignment="1" applyProtection="1">
      <alignment vertical="center"/>
      <protection hidden="1"/>
    </xf>
    <xf numFmtId="0" fontId="47" fillId="7" borderId="0" xfId="0" applyFont="1" applyFill="1" applyAlignment="1">
      <alignment horizontal="left" shrinkToFit="1"/>
    </xf>
    <xf numFmtId="167" fontId="47" fillId="7" borderId="0" xfId="0" applyNumberFormat="1" applyFont="1" applyFill="1"/>
    <xf numFmtId="167" fontId="47" fillId="7" borderId="0" xfId="0" applyNumberFormat="1" applyFont="1" applyFill="1" applyAlignment="1">
      <alignment horizontal="left"/>
    </xf>
    <xf numFmtId="0" fontId="47" fillId="7" borderId="0" xfId="0" applyFont="1" applyFill="1" applyAlignment="1">
      <alignment horizontal="left"/>
    </xf>
    <xf numFmtId="167" fontId="45" fillId="7" borderId="9" xfId="0" applyNumberFormat="1" applyFont="1" applyFill="1" applyBorder="1" applyProtection="1">
      <protection hidden="1"/>
    </xf>
    <xf numFmtId="167" fontId="45" fillId="7" borderId="9" xfId="0" applyNumberFormat="1" applyFont="1" applyFill="1" applyBorder="1" applyAlignment="1">
      <alignment shrinkToFit="1"/>
    </xf>
    <xf numFmtId="167" fontId="45" fillId="7" borderId="4" xfId="0" applyNumberFormat="1" applyFont="1" applyFill="1" applyBorder="1" applyAlignment="1">
      <alignment shrinkToFit="1"/>
    </xf>
    <xf numFmtId="0" fontId="46" fillId="0" borderId="0" xfId="0" applyFont="1"/>
    <xf numFmtId="2" fontId="89" fillId="7" borderId="0" xfId="0" applyNumberFormat="1" applyFont="1" applyFill="1" applyAlignment="1">
      <alignment horizontal="left"/>
    </xf>
    <xf numFmtId="0" fontId="90" fillId="7" borderId="0" xfId="0" applyFont="1" applyFill="1" applyAlignment="1">
      <alignment horizontal="left"/>
    </xf>
    <xf numFmtId="168" fontId="91" fillId="7" borderId="0" xfId="0" applyNumberFormat="1" applyFont="1" applyFill="1" applyAlignment="1">
      <alignment horizontal="center"/>
    </xf>
    <xf numFmtId="0" fontId="40" fillId="7" borderId="0" xfId="0" applyFont="1" applyFill="1" applyAlignment="1">
      <alignment shrinkToFit="1"/>
    </xf>
    <xf numFmtId="0" fontId="45" fillId="7" borderId="0" xfId="0" applyFont="1" applyFill="1" applyAlignment="1">
      <alignment horizontal="left" shrinkToFit="1"/>
    </xf>
    <xf numFmtId="0" fontId="58" fillId="7" borderId="15" xfId="0" applyFont="1" applyFill="1" applyBorder="1"/>
    <xf numFmtId="0" fontId="48" fillId="12" borderId="0" xfId="0" applyFont="1" applyFill="1"/>
    <xf numFmtId="167" fontId="40" fillId="12" borderId="0" xfId="0" applyNumberFormat="1" applyFont="1" applyFill="1" applyAlignment="1" applyProtection="1">
      <alignment horizontal="right"/>
      <protection hidden="1"/>
    </xf>
    <xf numFmtId="167" fontId="40" fillId="12" borderId="0" xfId="0" applyNumberFormat="1" applyFont="1" applyFill="1" applyAlignment="1">
      <alignment horizontal="right"/>
    </xf>
    <xf numFmtId="167" fontId="40" fillId="12" borderId="0" xfId="0" applyNumberFormat="1" applyFont="1" applyFill="1" applyAlignment="1">
      <alignment shrinkToFit="1"/>
    </xf>
    <xf numFmtId="167" fontId="38" fillId="2" borderId="4" xfId="0" applyNumberFormat="1" applyFont="1" applyFill="1" applyBorder="1" applyAlignment="1" applyProtection="1">
      <alignment horizontal="right"/>
      <protection locked="0" hidden="1"/>
    </xf>
    <xf numFmtId="172" fontId="41" fillId="12" borderId="4" xfId="0" applyNumberFormat="1" applyFont="1" applyFill="1" applyBorder="1" applyAlignment="1">
      <alignment horizontal="right"/>
    </xf>
    <xf numFmtId="2" fontId="47" fillId="2" borderId="4" xfId="0" applyNumberFormat="1" applyFont="1" applyFill="1" applyBorder="1" applyAlignment="1" applyProtection="1">
      <alignment horizontal="center"/>
      <protection hidden="1"/>
    </xf>
    <xf numFmtId="2" fontId="38" fillId="2" borderId="4" xfId="0" applyNumberFormat="1" applyFont="1" applyFill="1" applyBorder="1" applyAlignment="1">
      <alignment horizontal="center" vertical="center"/>
    </xf>
    <xf numFmtId="167" fontId="38" fillId="0" borderId="4" xfId="0" applyNumberFormat="1" applyFont="1" applyBorder="1" applyAlignment="1">
      <alignment horizontal="right" vertical="center"/>
    </xf>
    <xf numFmtId="1" fontId="92" fillId="7" borderId="0" xfId="0" applyNumberFormat="1" applyFont="1" applyFill="1" applyAlignment="1">
      <alignment horizontal="left" vertical="top"/>
    </xf>
    <xf numFmtId="0" fontId="92" fillId="7" borderId="0" xfId="0" applyFont="1" applyFill="1" applyAlignment="1">
      <alignment horizontal="left" vertical="top"/>
    </xf>
    <xf numFmtId="0" fontId="38" fillId="2" borderId="4" xfId="0" applyFont="1" applyFill="1" applyBorder="1" applyAlignment="1" applyProtection="1">
      <alignment horizontal="center"/>
      <protection hidden="1"/>
    </xf>
    <xf numFmtId="0" fontId="45" fillId="7" borderId="4" xfId="0" applyFont="1" applyFill="1" applyBorder="1" applyAlignment="1" applyProtection="1">
      <alignment horizontal="center"/>
      <protection hidden="1"/>
    </xf>
    <xf numFmtId="0" fontId="45" fillId="7" borderId="4" xfId="0" applyFont="1" applyFill="1" applyBorder="1" applyAlignment="1">
      <alignment horizontal="center" vertical="center"/>
    </xf>
    <xf numFmtId="1" fontId="38" fillId="2" borderId="4" xfId="0" applyNumberFormat="1" applyFont="1" applyFill="1" applyBorder="1" applyAlignment="1" applyProtection="1">
      <alignment horizontal="center"/>
      <protection hidden="1"/>
    </xf>
    <xf numFmtId="0" fontId="36" fillId="13" borderId="63" xfId="0" applyFont="1" applyFill="1" applyBorder="1" applyAlignment="1" applyProtection="1">
      <alignment horizontal="center" vertical="center"/>
      <protection hidden="1"/>
    </xf>
    <xf numFmtId="0" fontId="41" fillId="14" borderId="4" xfId="0" applyFont="1" applyFill="1" applyBorder="1" applyProtection="1">
      <protection hidden="1"/>
    </xf>
    <xf numFmtId="0" fontId="43" fillId="14" borderId="4" xfId="0" applyFont="1" applyFill="1" applyBorder="1" applyProtection="1">
      <protection hidden="1"/>
    </xf>
    <xf numFmtId="0" fontId="44" fillId="14" borderId="4" xfId="0" applyFont="1" applyFill="1" applyBorder="1" applyProtection="1">
      <protection hidden="1"/>
    </xf>
    <xf numFmtId="0" fontId="46" fillId="14" borderId="4" xfId="0" applyFont="1" applyFill="1" applyBorder="1" applyAlignment="1">
      <alignment horizontal="left"/>
    </xf>
    <xf numFmtId="0" fontId="41" fillId="14" borderId="4" xfId="0" applyFont="1" applyFill="1" applyBorder="1" applyAlignment="1" applyProtection="1">
      <alignment shrinkToFit="1"/>
      <protection hidden="1"/>
    </xf>
    <xf numFmtId="0" fontId="41" fillId="14" borderId="4" xfId="0" applyFont="1" applyFill="1" applyBorder="1" applyAlignment="1" applyProtection="1">
      <alignment wrapText="1"/>
      <protection hidden="1"/>
    </xf>
    <xf numFmtId="0" fontId="41" fillId="14" borderId="0" xfId="0" applyFont="1" applyFill="1" applyAlignment="1">
      <alignment wrapText="1"/>
    </xf>
    <xf numFmtId="0" fontId="41" fillId="14" borderId="4" xfId="0" applyFont="1" applyFill="1" applyBorder="1" applyAlignment="1" applyProtection="1">
      <alignment horizontal="left"/>
      <protection hidden="1"/>
    </xf>
    <xf numFmtId="0" fontId="41" fillId="14" borderId="4" xfId="0" applyFont="1" applyFill="1" applyBorder="1" applyAlignment="1" applyProtection="1">
      <alignment horizontal="left" vertical="top"/>
      <protection hidden="1"/>
    </xf>
    <xf numFmtId="171" fontId="48" fillId="14" borderId="4" xfId="3" applyNumberFormat="1" applyFont="1" applyFill="1" applyBorder="1" applyAlignment="1" applyProtection="1">
      <alignment horizontal="center"/>
      <protection hidden="1"/>
    </xf>
    <xf numFmtId="0" fontId="41" fillId="14" borderId="2" xfId="0" applyFont="1" applyFill="1" applyBorder="1" applyProtection="1">
      <protection hidden="1"/>
    </xf>
    <xf numFmtId="0" fontId="41" fillId="14" borderId="3" xfId="0" applyFont="1" applyFill="1" applyBorder="1" applyProtection="1">
      <protection hidden="1"/>
    </xf>
    <xf numFmtId="0" fontId="41" fillId="14" borderId="4" xfId="0" applyFont="1" applyFill="1" applyBorder="1" applyAlignment="1">
      <alignment horizontal="left"/>
    </xf>
    <xf numFmtId="0" fontId="41" fillId="14" borderId="4" xfId="0" applyFont="1" applyFill="1" applyBorder="1"/>
    <xf numFmtId="5" fontId="41" fillId="14" borderId="10" xfId="0" applyNumberFormat="1" applyFont="1" applyFill="1" applyBorder="1" applyAlignment="1">
      <alignment horizontal="center"/>
    </xf>
    <xf numFmtId="0" fontId="40" fillId="14" borderId="4" xfId="0" applyFont="1" applyFill="1" applyBorder="1" applyProtection="1">
      <protection hidden="1"/>
    </xf>
    <xf numFmtId="167" fontId="40" fillId="14" borderId="4" xfId="0" applyNumberFormat="1" applyFont="1" applyFill="1" applyBorder="1" applyProtection="1">
      <protection hidden="1"/>
    </xf>
    <xf numFmtId="0" fontId="40" fillId="14" borderId="4" xfId="0" applyFont="1" applyFill="1" applyBorder="1"/>
    <xf numFmtId="0" fontId="40" fillId="14" borderId="4" xfId="0" applyFont="1" applyFill="1" applyBorder="1" applyAlignment="1">
      <alignment shrinkToFit="1"/>
    </xf>
    <xf numFmtId="167" fontId="40" fillId="14" borderId="4" xfId="0" applyNumberFormat="1" applyFont="1" applyFill="1" applyBorder="1"/>
    <xf numFmtId="167" fontId="40" fillId="14" borderId="4" xfId="0" applyNumberFormat="1" applyFont="1" applyFill="1" applyBorder="1" applyAlignment="1">
      <alignment shrinkToFit="1"/>
    </xf>
    <xf numFmtId="0" fontId="48" fillId="14" borderId="4" xfId="0" applyFont="1" applyFill="1" applyBorder="1"/>
    <xf numFmtId="167" fontId="40" fillId="14" borderId="4" xfId="0" applyNumberFormat="1" applyFont="1" applyFill="1" applyBorder="1" applyAlignment="1" applyProtection="1">
      <alignment horizontal="right"/>
      <protection hidden="1"/>
    </xf>
    <xf numFmtId="167" fontId="40" fillId="14" borderId="4" xfId="0" applyNumberFormat="1" applyFont="1" applyFill="1" applyBorder="1" applyAlignment="1">
      <alignment horizontal="right"/>
    </xf>
    <xf numFmtId="0" fontId="48" fillId="14" borderId="0" xfId="0" applyFont="1" applyFill="1"/>
    <xf numFmtId="167" fontId="40" fillId="14" borderId="0" xfId="0" applyNumberFormat="1" applyFont="1" applyFill="1" applyAlignment="1" applyProtection="1">
      <alignment horizontal="right"/>
      <protection hidden="1"/>
    </xf>
    <xf numFmtId="167" fontId="40" fillId="14" borderId="0" xfId="0" applyNumberFormat="1" applyFont="1" applyFill="1" applyAlignment="1">
      <alignment horizontal="right"/>
    </xf>
    <xf numFmtId="167" fontId="40" fillId="14" borderId="0" xfId="0" applyNumberFormat="1" applyFont="1" applyFill="1" applyAlignment="1">
      <alignment shrinkToFit="1"/>
    </xf>
    <xf numFmtId="0" fontId="41" fillId="14" borderId="4" xfId="0" applyFont="1" applyFill="1" applyBorder="1" applyAlignment="1" applyProtection="1">
      <alignment horizontal="left" vertical="center" wrapText="1"/>
      <protection hidden="1"/>
    </xf>
    <xf numFmtId="167" fontId="41" fillId="14" borderId="4" xfId="0" applyNumberFormat="1" applyFont="1" applyFill="1" applyBorder="1" applyAlignment="1" applyProtection="1">
      <alignment horizontal="right" vertical="center"/>
      <protection locked="0" hidden="1"/>
    </xf>
    <xf numFmtId="0" fontId="41" fillId="14" borderId="51" xfId="0" applyFont="1" applyFill="1" applyBorder="1" applyProtection="1">
      <protection hidden="1"/>
    </xf>
    <xf numFmtId="167" fontId="41" fillId="14" borderId="4" xfId="0" applyNumberFormat="1" applyFont="1" applyFill="1" applyBorder="1" applyAlignment="1" applyProtection="1">
      <alignment horizontal="right"/>
      <protection hidden="1"/>
    </xf>
    <xf numFmtId="0" fontId="48" fillId="14" borderId="4" xfId="0" applyFont="1" applyFill="1" applyBorder="1" applyAlignment="1">
      <alignment wrapText="1"/>
    </xf>
    <xf numFmtId="0" fontId="41" fillId="14" borderId="4" xfId="0" applyFont="1" applyFill="1" applyBorder="1" applyAlignment="1">
      <alignment horizontal="center"/>
    </xf>
    <xf numFmtId="1" fontId="41" fillId="14" borderId="4" xfId="0" applyNumberFormat="1" applyFont="1" applyFill="1" applyBorder="1" applyAlignment="1">
      <alignment horizontal="center"/>
    </xf>
    <xf numFmtId="2" fontId="41" fillId="14" borderId="4" xfId="0" applyNumberFormat="1" applyFont="1" applyFill="1" applyBorder="1" applyAlignment="1">
      <alignment horizontal="center"/>
    </xf>
    <xf numFmtId="0" fontId="48" fillId="14" borderId="15" xfId="0" applyFont="1" applyFill="1" applyBorder="1"/>
    <xf numFmtId="1" fontId="41" fillId="14" borderId="50" xfId="0" applyNumberFormat="1" applyFont="1" applyFill="1" applyBorder="1" applyAlignment="1">
      <alignment horizontal="center"/>
    </xf>
    <xf numFmtId="0" fontId="48" fillId="14" borderId="51" xfId="0" applyFont="1" applyFill="1" applyBorder="1"/>
    <xf numFmtId="167" fontId="41" fillId="14" borderId="4" xfId="0" applyNumberFormat="1" applyFont="1" applyFill="1" applyBorder="1" applyAlignment="1">
      <alignment horizontal="right"/>
    </xf>
    <xf numFmtId="0" fontId="41" fillId="14" borderId="5" xfId="0" applyFont="1" applyFill="1" applyBorder="1"/>
    <xf numFmtId="167" fontId="41" fillId="14" borderId="5" xfId="0" applyNumberFormat="1" applyFont="1" applyFill="1" applyBorder="1" applyAlignment="1">
      <alignment horizontal="right"/>
    </xf>
    <xf numFmtId="0" fontId="41" fillId="14" borderId="4" xfId="0" applyFont="1" applyFill="1" applyBorder="1" applyAlignment="1" applyProtection="1">
      <alignment horizontal="center"/>
      <protection locked="0"/>
    </xf>
    <xf numFmtId="167" fontId="41" fillId="14" borderId="4" xfId="1" applyNumberFormat="1" applyFont="1" applyFill="1" applyBorder="1" applyAlignment="1">
      <alignment horizontal="right"/>
    </xf>
    <xf numFmtId="167" fontId="41" fillId="14" borderId="4" xfId="0" applyNumberFormat="1" applyFont="1" applyFill="1" applyBorder="1"/>
    <xf numFmtId="0" fontId="41" fillId="14" borderId="1" xfId="0" applyFont="1" applyFill="1" applyBorder="1"/>
    <xf numFmtId="0" fontId="41" fillId="14" borderId="28" xfId="0" applyFont="1" applyFill="1" applyBorder="1"/>
    <xf numFmtId="0" fontId="41" fillId="14" borderId="9" xfId="0" applyFont="1" applyFill="1" applyBorder="1"/>
    <xf numFmtId="7" fontId="41" fillId="14" borderId="10" xfId="0" applyNumberFormat="1" applyFont="1" applyFill="1" applyBorder="1" applyAlignment="1">
      <alignment horizontal="right"/>
    </xf>
    <xf numFmtId="5" fontId="41" fillId="14" borderId="51" xfId="0" applyNumberFormat="1" applyFont="1" applyFill="1" applyBorder="1" applyAlignment="1">
      <alignment horizontal="center"/>
    </xf>
    <xf numFmtId="0" fontId="41" fillId="14" borderId="41" xfId="0" applyFont="1" applyFill="1" applyBorder="1"/>
    <xf numFmtId="7" fontId="41" fillId="14" borderId="20" xfId="0" quotePrefix="1" applyNumberFormat="1" applyFont="1" applyFill="1" applyBorder="1" applyAlignment="1">
      <alignment horizontal="right"/>
    </xf>
    <xf numFmtId="9" fontId="41" fillId="14" borderId="42" xfId="0" applyNumberFormat="1" applyFont="1" applyFill="1" applyBorder="1" applyAlignment="1">
      <alignment horizontal="right"/>
    </xf>
    <xf numFmtId="1" fontId="41" fillId="14" borderId="1" xfId="0" applyNumberFormat="1" applyFont="1" applyFill="1" applyBorder="1"/>
    <xf numFmtId="4" fontId="41" fillId="14" borderId="3" xfId="0" applyNumberFormat="1" applyFont="1" applyFill="1" applyBorder="1" applyAlignment="1">
      <alignment horizontal="center"/>
    </xf>
    <xf numFmtId="4" fontId="41" fillId="14" borderId="1" xfId="0" applyNumberFormat="1" applyFont="1" applyFill="1" applyBorder="1"/>
    <xf numFmtId="0" fontId="41" fillId="14" borderId="34" xfId="0" applyFont="1" applyFill="1" applyBorder="1"/>
    <xf numFmtId="0" fontId="41" fillId="14" borderId="43" xfId="0" applyFont="1" applyFill="1" applyBorder="1"/>
    <xf numFmtId="167" fontId="41" fillId="14" borderId="20" xfId="0" applyNumberFormat="1" applyFont="1" applyFill="1" applyBorder="1" applyAlignment="1">
      <alignment horizontal="right"/>
    </xf>
    <xf numFmtId="0" fontId="41" fillId="14" borderId="2" xfId="0" applyFont="1" applyFill="1" applyBorder="1"/>
    <xf numFmtId="167" fontId="41" fillId="14" borderId="3" xfId="2" applyNumberFormat="1" applyFont="1" applyFill="1" applyBorder="1"/>
    <xf numFmtId="4" fontId="41" fillId="14" borderId="0" xfId="0" applyNumberFormat="1" applyFont="1" applyFill="1"/>
    <xf numFmtId="167" fontId="41" fillId="14" borderId="0" xfId="2" applyNumberFormat="1" applyFont="1" applyFill="1" applyAlignment="1">
      <alignment horizontal="right"/>
    </xf>
    <xf numFmtId="167" fontId="41" fillId="14" borderId="9" xfId="0" applyNumberFormat="1" applyFont="1" applyFill="1" applyBorder="1"/>
    <xf numFmtId="0" fontId="36" fillId="14" borderId="47" xfId="0" applyFont="1" applyFill="1" applyBorder="1"/>
    <xf numFmtId="167" fontId="36" fillId="14" borderId="45" xfId="0" applyNumberFormat="1" applyFont="1" applyFill="1" applyBorder="1" applyAlignment="1">
      <alignment horizontal="right"/>
    </xf>
    <xf numFmtId="9" fontId="36" fillId="14" borderId="48" xfId="0" applyNumberFormat="1" applyFont="1" applyFill="1" applyBorder="1" applyAlignment="1">
      <alignment horizontal="right"/>
    </xf>
    <xf numFmtId="0" fontId="41" fillId="14" borderId="21" xfId="0" applyFont="1" applyFill="1" applyBorder="1" applyAlignment="1" applyProtection="1">
      <alignment vertical="center"/>
      <protection hidden="1"/>
    </xf>
    <xf numFmtId="0" fontId="41" fillId="14" borderId="4" xfId="0" applyFont="1" applyFill="1" applyBorder="1" applyAlignment="1" applyProtection="1">
      <alignment vertical="center"/>
      <protection hidden="1"/>
    </xf>
    <xf numFmtId="0" fontId="94" fillId="7" borderId="0" xfId="2" applyFont="1" applyFill="1"/>
    <xf numFmtId="0" fontId="41" fillId="14" borderId="0" xfId="0" applyFont="1" applyFill="1"/>
    <xf numFmtId="0" fontId="37" fillId="0" borderId="4" xfId="0" applyFont="1" applyBorder="1" applyAlignment="1" applyProtection="1">
      <alignment horizontal="center"/>
      <protection hidden="1"/>
    </xf>
    <xf numFmtId="1" fontId="83" fillId="14" borderId="4" xfId="0" applyNumberFormat="1" applyFont="1" applyFill="1" applyBorder="1" applyAlignment="1" applyProtection="1">
      <alignment horizontal="center"/>
      <protection hidden="1"/>
    </xf>
    <xf numFmtId="167" fontId="36" fillId="14" borderId="4" xfId="0" applyNumberFormat="1" applyFont="1" applyFill="1" applyBorder="1" applyAlignment="1">
      <alignment horizontal="right"/>
    </xf>
    <xf numFmtId="7" fontId="41" fillId="14" borderId="1" xfId="0" applyNumberFormat="1" applyFont="1" applyFill="1" applyBorder="1" applyAlignment="1">
      <alignment horizontal="right"/>
    </xf>
    <xf numFmtId="5" fontId="41" fillId="14" borderId="3" xfId="0" applyNumberFormat="1" applyFont="1" applyFill="1" applyBorder="1" applyAlignment="1">
      <alignment horizontal="center"/>
    </xf>
    <xf numFmtId="165" fontId="41" fillId="14" borderId="1" xfId="0" applyNumberFormat="1" applyFont="1" applyFill="1" applyBorder="1" applyAlignment="1">
      <alignment horizontal="right"/>
    </xf>
    <xf numFmtId="7" fontId="41" fillId="14" borderId="34" xfId="0" quotePrefix="1" applyNumberFormat="1" applyFont="1" applyFill="1" applyBorder="1" applyAlignment="1">
      <alignment horizontal="right"/>
    </xf>
    <xf numFmtId="9" fontId="41" fillId="14" borderId="34" xfId="0" applyNumberFormat="1" applyFont="1" applyFill="1" applyBorder="1" applyAlignment="1">
      <alignment horizontal="right"/>
    </xf>
    <xf numFmtId="7" fontId="41" fillId="14" borderId="4" xfId="0" quotePrefix="1" applyNumberFormat="1" applyFont="1" applyFill="1" applyBorder="1"/>
    <xf numFmtId="9" fontId="41" fillId="14" borderId="4" xfId="0" applyNumberFormat="1" applyFont="1" applyFill="1" applyBorder="1" applyAlignment="1">
      <alignment horizontal="right"/>
    </xf>
    <xf numFmtId="2" fontId="41" fillId="14" borderId="4" xfId="0" applyNumberFormat="1" applyFont="1" applyFill="1" applyBorder="1" applyAlignment="1">
      <alignment horizontal="right" vertical="center"/>
    </xf>
    <xf numFmtId="2" fontId="41" fillId="14" borderId="10" xfId="0" applyNumberFormat="1" applyFont="1" applyFill="1" applyBorder="1" applyAlignment="1">
      <alignment horizontal="right"/>
    </xf>
    <xf numFmtId="167" fontId="38" fillId="2" borderId="4" xfId="0" applyNumberFormat="1" applyFont="1" applyFill="1" applyBorder="1" applyAlignment="1" applyProtection="1">
      <alignment horizontal="center"/>
      <protection hidden="1"/>
    </xf>
    <xf numFmtId="167" fontId="41" fillId="14" borderId="34" xfId="0" applyNumberFormat="1" applyFont="1" applyFill="1" applyBorder="1" applyAlignment="1">
      <alignment horizontal="right"/>
    </xf>
    <xf numFmtId="0" fontId="30" fillId="0" borderId="0" xfId="0" applyFont="1" applyAlignment="1">
      <alignment horizontal="center"/>
    </xf>
    <xf numFmtId="0" fontId="82" fillId="7" borderId="0" xfId="0" applyFont="1" applyFill="1" applyAlignment="1" applyProtection="1">
      <alignment horizontal="left" vertical="center" wrapText="1"/>
      <protection hidden="1"/>
    </xf>
    <xf numFmtId="0" fontId="93" fillId="7" borderId="6" xfId="0" applyFont="1" applyFill="1" applyBorder="1" applyAlignment="1" applyProtection="1">
      <alignment horizontal="center" vertical="center" wrapText="1"/>
      <protection hidden="1"/>
    </xf>
    <xf numFmtId="0" fontId="93" fillId="7" borderId="0" xfId="0" applyFont="1" applyFill="1" applyAlignment="1" applyProtection="1">
      <alignment horizontal="left" vertical="center" wrapText="1"/>
      <protection hidden="1"/>
    </xf>
    <xf numFmtId="0" fontId="56" fillId="7" borderId="6" xfId="0" applyFont="1" applyFill="1" applyBorder="1" applyAlignment="1">
      <alignment horizontal="center" wrapText="1"/>
    </xf>
    <xf numFmtId="0" fontId="56" fillId="7" borderId="0" xfId="0" applyFont="1" applyFill="1" applyAlignment="1">
      <alignment horizontal="center" wrapText="1"/>
    </xf>
    <xf numFmtId="0" fontId="50" fillId="7" borderId="15" xfId="0" applyFont="1" applyFill="1" applyBorder="1" applyAlignment="1">
      <alignment horizontal="left"/>
    </xf>
    <xf numFmtId="0" fontId="41" fillId="14" borderId="1" xfId="0" applyFont="1" applyFill="1" applyBorder="1" applyAlignment="1">
      <alignment horizontal="center"/>
    </xf>
    <xf numFmtId="0" fontId="41" fillId="14" borderId="3" xfId="0" applyFont="1" applyFill="1" applyBorder="1" applyAlignment="1">
      <alignment horizontal="center"/>
    </xf>
    <xf numFmtId="0" fontId="48" fillId="14" borderId="1" xfId="0" applyFont="1" applyFill="1" applyBorder="1" applyAlignment="1">
      <alignment horizontal="center"/>
    </xf>
    <xf numFmtId="0" fontId="48" fillId="14" borderId="3" xfId="0" applyFont="1" applyFill="1" applyBorder="1" applyAlignment="1">
      <alignment horizontal="center"/>
    </xf>
    <xf numFmtId="167" fontId="46" fillId="7" borderId="0" xfId="0" applyNumberFormat="1" applyFont="1" applyFill="1" applyAlignment="1">
      <alignment horizontal="left" shrinkToFit="1"/>
    </xf>
    <xf numFmtId="0" fontId="46" fillId="7" borderId="0" xfId="0" applyFont="1" applyFill="1" applyAlignment="1">
      <alignment horizontal="left" shrinkToFit="1"/>
    </xf>
    <xf numFmtId="165" fontId="41" fillId="14" borderId="4" xfId="0" applyNumberFormat="1" applyFont="1" applyFill="1" applyBorder="1" applyAlignment="1">
      <alignment horizontal="center"/>
    </xf>
    <xf numFmtId="1" fontId="70" fillId="7" borderId="0" xfId="0" applyNumberFormat="1" applyFont="1" applyFill="1" applyAlignment="1">
      <alignment horizontal="center" wrapText="1" shrinkToFit="1"/>
    </xf>
    <xf numFmtId="1" fontId="38" fillId="7" borderId="9" xfId="0" applyNumberFormat="1" applyFont="1" applyFill="1" applyBorder="1" applyAlignment="1" applyProtection="1">
      <alignment horizontal="left" shrinkToFit="1"/>
      <protection hidden="1"/>
    </xf>
    <xf numFmtId="0" fontId="41" fillId="14" borderId="2" xfId="0" applyFont="1" applyFill="1" applyBorder="1" applyAlignment="1">
      <alignment horizontal="center"/>
    </xf>
    <xf numFmtId="0" fontId="51" fillId="5" borderId="15" xfId="0" applyFont="1" applyFill="1" applyBorder="1" applyAlignment="1">
      <alignment horizontal="left" vertical="center"/>
    </xf>
    <xf numFmtId="1" fontId="38" fillId="4" borderId="6" xfId="0" applyNumberFormat="1" applyFont="1" applyFill="1" applyBorder="1" applyAlignment="1">
      <alignment horizontal="left" vertical="center"/>
    </xf>
    <xf numFmtId="1" fontId="38" fillId="4" borderId="53" xfId="0" applyNumberFormat="1" applyFont="1" applyFill="1" applyBorder="1" applyAlignment="1">
      <alignment horizontal="left" vertical="center"/>
    </xf>
    <xf numFmtId="0" fontId="79" fillId="6" borderId="49" xfId="0" applyFont="1" applyFill="1" applyBorder="1" applyAlignment="1">
      <alignment horizontal="right"/>
    </xf>
    <xf numFmtId="7" fontId="38" fillId="9" borderId="24" xfId="0" applyNumberFormat="1" applyFont="1" applyFill="1" applyBorder="1" applyAlignment="1">
      <alignment horizontal="right"/>
    </xf>
    <xf numFmtId="0" fontId="60" fillId="3" borderId="55" xfId="2" applyFont="1" applyFill="1" applyBorder="1" applyAlignment="1">
      <alignment horizontal="center" vertical="center" wrapText="1"/>
    </xf>
    <xf numFmtId="0" fontId="60" fillId="3" borderId="56" xfId="2" applyFont="1" applyFill="1" applyBorder="1" applyAlignment="1">
      <alignment horizontal="center" vertical="center" wrapText="1"/>
    </xf>
    <xf numFmtId="0" fontId="60" fillId="3" borderId="57" xfId="2" applyFont="1" applyFill="1" applyBorder="1" applyAlignment="1">
      <alignment horizontal="center" vertical="center" wrapText="1"/>
    </xf>
    <xf numFmtId="0" fontId="60" fillId="3" borderId="58" xfId="2" applyFont="1" applyFill="1" applyBorder="1" applyAlignment="1">
      <alignment horizontal="center" vertical="center" wrapText="1"/>
    </xf>
    <xf numFmtId="0" fontId="60" fillId="3" borderId="0" xfId="2" applyFont="1" applyFill="1" applyAlignment="1">
      <alignment horizontal="center" vertical="center" wrapText="1"/>
    </xf>
    <xf numFmtId="0" fontId="60" fillId="3" borderId="59" xfId="2" applyFont="1" applyFill="1" applyBorder="1" applyAlignment="1">
      <alignment horizontal="center" vertical="center" wrapText="1"/>
    </xf>
    <xf numFmtId="0" fontId="60" fillId="3" borderId="60" xfId="2" applyFont="1" applyFill="1" applyBorder="1" applyAlignment="1">
      <alignment horizontal="center" vertical="center" wrapText="1"/>
    </xf>
    <xf numFmtId="0" fontId="60" fillId="3" borderId="61" xfId="2" applyFont="1" applyFill="1" applyBorder="1" applyAlignment="1">
      <alignment horizontal="center" vertical="center" wrapText="1"/>
    </xf>
    <xf numFmtId="0" fontId="60" fillId="3" borderId="62" xfId="2" applyFont="1" applyFill="1" applyBorder="1" applyAlignment="1">
      <alignment horizontal="center" vertical="center" wrapText="1"/>
    </xf>
    <xf numFmtId="0" fontId="55" fillId="7" borderId="9" xfId="0" applyFont="1" applyFill="1" applyBorder="1" applyAlignment="1" applyProtection="1">
      <alignment horizontal="left" vertical="center"/>
      <protection hidden="1"/>
    </xf>
    <xf numFmtId="0" fontId="55" fillId="7" borderId="28" xfId="0" applyFont="1" applyFill="1" applyBorder="1" applyAlignment="1" applyProtection="1">
      <alignment horizontal="left" vertical="center"/>
      <protection hidden="1"/>
    </xf>
    <xf numFmtId="0" fontId="55" fillId="7" borderId="65" xfId="0" applyFont="1" applyFill="1" applyBorder="1" applyAlignment="1" applyProtection="1">
      <alignment horizontal="left" vertical="center"/>
      <protection hidden="1"/>
    </xf>
    <xf numFmtId="0" fontId="55" fillId="7" borderId="66" xfId="0" applyFont="1" applyFill="1" applyBorder="1" applyAlignment="1" applyProtection="1">
      <alignment horizontal="left" vertical="center"/>
      <protection hidden="1"/>
    </xf>
    <xf numFmtId="0" fontId="55" fillId="7" borderId="67" xfId="0" applyFont="1" applyFill="1" applyBorder="1" applyAlignment="1" applyProtection="1">
      <alignment horizontal="left" vertical="center"/>
      <protection hidden="1"/>
    </xf>
    <xf numFmtId="0" fontId="55" fillId="7" borderId="19" xfId="0" applyFont="1" applyFill="1" applyBorder="1" applyAlignment="1" applyProtection="1">
      <alignment horizontal="left" vertical="center"/>
      <protection hidden="1"/>
    </xf>
    <xf numFmtId="0" fontId="55" fillId="7" borderId="16" xfId="0" applyFont="1" applyFill="1" applyBorder="1" applyAlignment="1" applyProtection="1">
      <alignment horizontal="left" vertical="center"/>
      <protection hidden="1"/>
    </xf>
    <xf numFmtId="0" fontId="55" fillId="7" borderId="22" xfId="0" applyFont="1" applyFill="1" applyBorder="1" applyAlignment="1" applyProtection="1">
      <alignment horizontal="left" vertical="center"/>
      <protection hidden="1"/>
    </xf>
    <xf numFmtId="0" fontId="51" fillId="5" borderId="0" xfId="0" applyFont="1" applyFill="1" applyAlignment="1">
      <alignment horizontal="left"/>
    </xf>
    <xf numFmtId="0" fontId="41" fillId="14" borderId="4" xfId="0" applyFont="1" applyFill="1" applyBorder="1" applyAlignment="1" applyProtection="1">
      <alignment horizontal="center" vertical="center"/>
      <protection hidden="1"/>
    </xf>
    <xf numFmtId="7" fontId="38" fillId="5" borderId="0" xfId="0" applyNumberFormat="1" applyFont="1" applyFill="1" applyAlignment="1">
      <alignment horizontal="right"/>
    </xf>
    <xf numFmtId="0" fontId="41" fillId="14" borderId="9" xfId="0" applyFont="1" applyFill="1" applyBorder="1" applyAlignment="1" applyProtection="1">
      <alignment horizontal="center" vertical="center"/>
      <protection hidden="1"/>
    </xf>
    <xf numFmtId="2" fontId="41" fillId="14" borderId="4" xfId="0" applyNumberFormat="1" applyFont="1" applyFill="1" applyBorder="1" applyAlignment="1" applyProtection="1">
      <alignment horizontal="center" vertical="center"/>
      <protection hidden="1"/>
    </xf>
    <xf numFmtId="0" fontId="7" fillId="0" borderId="30" xfId="0" applyFont="1" applyBorder="1" applyAlignment="1">
      <alignment vertical="center" wrapText="1"/>
    </xf>
    <xf numFmtId="0" fontId="7" fillId="0" borderId="32" xfId="0" applyFont="1" applyBorder="1" applyAlignment="1">
      <alignment vertical="center" wrapText="1"/>
    </xf>
    <xf numFmtId="0" fontId="7" fillId="0" borderId="31" xfId="0" applyFont="1" applyBorder="1" applyAlignment="1">
      <alignment vertical="center" wrapText="1"/>
    </xf>
    <xf numFmtId="0" fontId="9" fillId="0" borderId="30" xfId="0" applyFont="1" applyBorder="1" applyAlignment="1">
      <alignment vertical="center" wrapText="1"/>
    </xf>
    <xf numFmtId="0" fontId="9" fillId="0" borderId="32" xfId="0" applyFont="1" applyBorder="1" applyAlignment="1">
      <alignment vertical="center" wrapText="1"/>
    </xf>
    <xf numFmtId="0" fontId="0" fillId="8" borderId="12" xfId="0" applyFill="1" applyBorder="1" applyAlignment="1">
      <alignment horizontal="center"/>
    </xf>
    <xf numFmtId="0" fontId="0" fillId="8" borderId="13" xfId="0" applyFill="1" applyBorder="1" applyAlignment="1">
      <alignment horizontal="center"/>
    </xf>
    <xf numFmtId="0" fontId="0" fillId="7" borderId="1" xfId="0" applyFill="1" applyBorder="1" applyAlignment="1">
      <alignment horizontal="left"/>
    </xf>
    <xf numFmtId="0" fontId="0" fillId="7" borderId="2" xfId="0" applyFill="1" applyBorder="1" applyAlignment="1">
      <alignment horizontal="left"/>
    </xf>
  </cellXfs>
  <cellStyles count="4">
    <cellStyle name="Lien hypertexte" xfId="2" builtinId="8"/>
    <cellStyle name="Milliers" xfId="1" builtinId="3"/>
    <cellStyle name="Normal" xfId="0" builtinId="0"/>
    <cellStyle name="Pourcentage" xfId="3" builtinId="5"/>
  </cellStyles>
  <dxfs count="16">
    <dxf>
      <font>
        <color rgb="FF9C0006"/>
      </font>
      <fill>
        <patternFill>
          <bgColor rgb="FFFFC7CE"/>
        </patternFill>
      </fill>
    </dxf>
    <dxf>
      <fill>
        <patternFill>
          <bgColor rgb="FFFFFF00"/>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rgb="FFFFFF00"/>
        </patternFill>
      </fill>
    </dxf>
    <dxf>
      <fill>
        <patternFill>
          <bgColor theme="0"/>
        </patternFill>
      </fill>
    </dxf>
    <dxf>
      <font>
        <color rgb="FFE84563"/>
      </font>
    </dxf>
    <dxf>
      <font>
        <color theme="0" tint="-4.9989318521683403E-2"/>
      </font>
    </dxf>
    <dxf>
      <font>
        <color rgb="FFE84563"/>
      </font>
    </dxf>
    <dxf>
      <font>
        <color rgb="FFE84563"/>
      </font>
    </dxf>
    <dxf>
      <font>
        <color rgb="FFE84563"/>
      </font>
    </dxf>
    <dxf>
      <font>
        <color rgb="FFE84563"/>
      </font>
    </dxf>
    <dxf>
      <font>
        <color rgb="FFE84563"/>
      </font>
    </dxf>
    <dxf>
      <font>
        <color rgb="FFE84563"/>
      </font>
    </dxf>
  </dxfs>
  <tableStyles count="0" defaultTableStyle="TableStyleMedium2" defaultPivotStyle="PivotStyleLight16"/>
  <colors>
    <mruColors>
      <color rgb="FF14A89B"/>
      <color rgb="FFE84563"/>
      <color rgb="FF1D4851"/>
      <color rgb="FF00A7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321469</xdr:colOff>
      <xdr:row>0</xdr:row>
      <xdr:rowOff>119062</xdr:rowOff>
    </xdr:from>
    <xdr:to>
      <xdr:col>0</xdr:col>
      <xdr:colOff>2640013</xdr:colOff>
      <xdr:row>2</xdr:row>
      <xdr:rowOff>96256</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469" y="119062"/>
          <a:ext cx="2321719" cy="75665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kto.fr/contrat-professionnalisation/" TargetMode="External"/><Relationship Id="rId7" Type="http://schemas.openxmlformats.org/officeDocument/2006/relationships/comments" Target="../comments1.xml"/><Relationship Id="rId2" Type="http://schemas.openxmlformats.org/officeDocument/2006/relationships/hyperlink" Target="https://www.alternance.emploi.gouv.fr/portail_alternance/jcms/gc_5504/simulateur-employeur" TargetMode="External"/><Relationship Id="rId1" Type="http://schemas.openxmlformats.org/officeDocument/2006/relationships/hyperlink" Target="http://www.faftt.fr/upload/docs/application/pdf/2017-03/mode_demploi_apprentissage_interimaire.pdf"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O115"/>
  <sheetViews>
    <sheetView tabSelected="1" zoomScale="96" zoomScaleNormal="85" zoomScaleSheetLayoutView="75" workbookViewId="0">
      <selection activeCell="A4" sqref="A4"/>
    </sheetView>
  </sheetViews>
  <sheetFormatPr baseColWidth="10" defaultColWidth="11.42578125" defaultRowHeight="15.75"/>
  <cols>
    <col min="1" max="1" width="78.140625" style="91" customWidth="1"/>
    <col min="2" max="2" width="30.5703125" style="91" customWidth="1"/>
    <col min="3" max="3" width="29.28515625" style="91" customWidth="1"/>
    <col min="4" max="4" width="34.85546875" style="91" customWidth="1"/>
    <col min="5" max="5" width="27.140625" style="91" customWidth="1"/>
    <col min="6" max="6" width="22.28515625" style="91" customWidth="1"/>
    <col min="7" max="7" width="35.28515625" style="91" customWidth="1"/>
    <col min="8" max="8" width="36.28515625" style="91" customWidth="1"/>
    <col min="9" max="9" width="16.140625" style="91" customWidth="1"/>
    <col min="10" max="10" width="20.7109375" style="91" customWidth="1"/>
    <col min="11" max="16384" width="11.42578125" style="91"/>
  </cols>
  <sheetData>
    <row r="1" spans="1:14" ht="59.1" customHeight="1">
      <c r="A1" s="88"/>
      <c r="B1" s="89"/>
      <c r="C1" s="393"/>
      <c r="D1" s="394" t="s">
        <v>290</v>
      </c>
      <c r="E1" s="394"/>
      <c r="F1" s="394"/>
      <c r="G1" s="394"/>
      <c r="H1" s="392"/>
      <c r="I1" s="392"/>
      <c r="J1" s="88"/>
      <c r="K1" s="90"/>
      <c r="L1" s="90"/>
      <c r="M1" s="90"/>
      <c r="N1" s="90"/>
    </row>
    <row r="2" spans="1:14" s="88" customFormat="1" ht="3" customHeight="1">
      <c r="A2" s="92"/>
      <c r="B2" s="93"/>
      <c r="C2" s="94"/>
      <c r="D2" s="95"/>
      <c r="E2" s="96"/>
      <c r="F2" s="94"/>
      <c r="G2" s="95"/>
      <c r="H2" s="96"/>
      <c r="I2" s="94"/>
      <c r="J2" s="97"/>
      <c r="K2" s="98"/>
      <c r="L2" s="90"/>
      <c r="M2" s="90"/>
      <c r="N2" s="90"/>
    </row>
    <row r="3" spans="1:14" ht="24">
      <c r="A3" s="92"/>
      <c r="B3" s="93"/>
      <c r="C3" s="94"/>
      <c r="D3" s="95"/>
      <c r="E3" s="299"/>
      <c r="F3" s="94"/>
      <c r="G3" s="95"/>
      <c r="H3" s="96"/>
      <c r="I3" s="94"/>
      <c r="J3" s="97"/>
      <c r="K3" s="98"/>
      <c r="L3" s="90"/>
      <c r="M3" s="90"/>
      <c r="N3" s="90"/>
    </row>
    <row r="4" spans="1:14" ht="29.25">
      <c r="A4" s="99" t="s">
        <v>244</v>
      </c>
      <c r="B4" s="93"/>
      <c r="C4" s="94"/>
      <c r="D4" s="375" t="s">
        <v>287</v>
      </c>
      <c r="E4" s="300"/>
      <c r="F4" s="254"/>
      <c r="G4" s="95"/>
      <c r="H4" s="96"/>
      <c r="I4" s="94"/>
      <c r="J4" s="97"/>
      <c r="K4" s="98"/>
      <c r="L4" s="90"/>
      <c r="M4" s="90"/>
      <c r="N4" s="90"/>
    </row>
    <row r="5" spans="1:14" ht="20.25" customHeight="1" thickBot="1">
      <c r="A5" s="92"/>
      <c r="B5" s="93"/>
      <c r="C5" s="94"/>
      <c r="D5" s="256"/>
      <c r="E5" s="299"/>
      <c r="F5" s="94"/>
      <c r="G5" s="95"/>
      <c r="H5" s="96"/>
      <c r="I5" s="286"/>
      <c r="J5" s="97"/>
      <c r="K5" s="98"/>
      <c r="L5" s="90"/>
      <c r="M5" s="90"/>
      <c r="N5" s="90"/>
    </row>
    <row r="6" spans="1:14" ht="28.5" customHeight="1" thickTop="1" thickBot="1">
      <c r="A6" s="305" t="s">
        <v>243</v>
      </c>
      <c r="B6" s="100"/>
      <c r="C6" s="265"/>
      <c r="D6" s="257"/>
      <c r="E6" s="103" t="s">
        <v>247</v>
      </c>
      <c r="F6" s="104" t="s">
        <v>181</v>
      </c>
      <c r="G6" s="105" t="s">
        <v>257</v>
      </c>
      <c r="H6" s="288" t="s">
        <v>187</v>
      </c>
      <c r="I6" s="258"/>
      <c r="J6" s="126"/>
      <c r="K6" s="106"/>
      <c r="L6" s="90"/>
      <c r="M6" s="90"/>
      <c r="N6" s="90"/>
    </row>
    <row r="7" spans="1:14" ht="18.75" customHeight="1" thickTop="1">
      <c r="A7" s="107"/>
      <c r="B7" s="107"/>
      <c r="C7" s="101"/>
      <c r="D7" s="321" t="s">
        <v>260</v>
      </c>
      <c r="E7" s="322" t="e">
        <f>(I7/(B21/B18))</f>
        <v>#VALUE!</v>
      </c>
      <c r="F7" s="323"/>
      <c r="G7" s="324"/>
      <c r="H7" s="287"/>
      <c r="I7" s="260">
        <f>D23</f>
        <v>1801.7999999999988</v>
      </c>
      <c r="J7" s="126"/>
      <c r="K7" s="106"/>
      <c r="L7" s="90"/>
      <c r="M7" s="90"/>
      <c r="N7" s="90"/>
    </row>
    <row r="8" spans="1:14" ht="19.5">
      <c r="A8" s="306" t="s">
        <v>29</v>
      </c>
      <c r="B8" s="301"/>
      <c r="C8" s="102"/>
      <c r="D8" s="321" t="s">
        <v>261</v>
      </c>
      <c r="E8" s="322" t="e">
        <f>(I8/(B21/B18))</f>
        <v>#VALUE!</v>
      </c>
      <c r="F8" s="325" t="e">
        <f>E8+(E8*B33/100)</f>
        <v>#VALUE!</v>
      </c>
      <c r="G8" s="326" t="e">
        <f>F8*B103</f>
        <v>#VALUE!</v>
      </c>
      <c r="H8" s="287"/>
      <c r="I8" s="261">
        <f>IF(B22="SMIC ou +  ",I7,Feuil1!D3)</f>
        <v>0</v>
      </c>
      <c r="J8" s="126"/>
      <c r="K8" s="108"/>
      <c r="L8" s="90"/>
      <c r="M8" s="90"/>
      <c r="N8" s="90"/>
    </row>
    <row r="9" spans="1:14" ht="19.5">
      <c r="A9" s="306" t="s">
        <v>275</v>
      </c>
      <c r="B9" s="301"/>
      <c r="C9" s="271"/>
      <c r="D9" s="327" t="s">
        <v>268</v>
      </c>
      <c r="E9" s="328">
        <f>B32</f>
        <v>0</v>
      </c>
      <c r="F9" s="329">
        <f>(B32*B33/100)+B32</f>
        <v>0</v>
      </c>
      <c r="G9" s="326">
        <f>F9*B103</f>
        <v>0</v>
      </c>
      <c r="H9" s="115"/>
      <c r="I9" s="262">
        <f>E9*151.6670081967</f>
        <v>0</v>
      </c>
      <c r="J9" s="126"/>
      <c r="K9" s="106"/>
      <c r="L9" s="90"/>
      <c r="M9" s="90"/>
      <c r="N9" s="90"/>
    </row>
    <row r="10" spans="1:14" ht="19.5">
      <c r="A10" s="306" t="s">
        <v>132</v>
      </c>
      <c r="B10" s="377"/>
      <c r="C10" s="271"/>
      <c r="D10" s="330"/>
      <c r="E10" s="331"/>
      <c r="F10" s="332"/>
      <c r="G10" s="333"/>
      <c r="H10" s="115"/>
      <c r="I10" s="262"/>
      <c r="J10" s="126"/>
      <c r="K10" s="106"/>
      <c r="L10" s="90"/>
      <c r="M10" s="90"/>
      <c r="N10" s="90"/>
    </row>
    <row r="11" spans="1:14" ht="19.5" customHeight="1">
      <c r="A11" s="306" t="s">
        <v>278</v>
      </c>
      <c r="B11" s="301"/>
      <c r="C11" s="271"/>
      <c r="D11" s="330"/>
      <c r="E11" s="331"/>
      <c r="F11" s="332"/>
      <c r="G11" s="333"/>
      <c r="H11" s="115"/>
      <c r="I11" s="262"/>
      <c r="J11" s="126"/>
      <c r="K11" s="106"/>
      <c r="L11" s="90"/>
      <c r="M11" s="90"/>
      <c r="N11" s="90"/>
    </row>
    <row r="12" spans="1:14" ht="2.1" customHeight="1">
      <c r="A12" s="306" t="s">
        <v>270</v>
      </c>
      <c r="B12" s="301"/>
      <c r="C12" s="271"/>
      <c r="D12" s="290"/>
      <c r="E12" s="291"/>
      <c r="F12" s="292"/>
      <c r="G12" s="293"/>
      <c r="H12" s="115"/>
      <c r="I12" s="262"/>
      <c r="J12" s="126"/>
      <c r="K12" s="106"/>
      <c r="L12" s="90"/>
      <c r="M12" s="90"/>
      <c r="N12" s="90"/>
    </row>
    <row r="13" spans="1:14" ht="19.5" customHeight="1">
      <c r="A13" s="306" t="s">
        <v>41</v>
      </c>
      <c r="B13" s="301"/>
      <c r="C13" s="395" t="str">
        <f>IF(B14="&gt;=26","Le taux horaire en formation (E8) doit être au minimum au SMIC","")</f>
        <v/>
      </c>
      <c r="D13" s="396"/>
      <c r="E13" s="261" t="e">
        <f>E8</f>
        <v>#VALUE!</v>
      </c>
      <c r="F13" s="264" t="e">
        <f>E13*1.4018</f>
        <v>#VALUE!</v>
      </c>
      <c r="G13" s="264" t="e">
        <f>F13*1.1</f>
        <v>#VALUE!</v>
      </c>
      <c r="H13" s="264"/>
      <c r="I13" s="259"/>
      <c r="J13" s="126"/>
      <c r="K13" s="108"/>
      <c r="L13" s="90"/>
      <c r="M13" s="90"/>
      <c r="N13" s="90"/>
    </row>
    <row r="14" spans="1:14" ht="16.899999999999999" customHeight="1">
      <c r="A14" s="306" t="s">
        <v>26</v>
      </c>
      <c r="B14" s="301"/>
      <c r="C14" s="395"/>
      <c r="D14" s="396"/>
      <c r="E14" s="88"/>
      <c r="F14" s="88"/>
      <c r="G14" s="88"/>
      <c r="H14" s="264">
        <f>G9+((E9*1.1)-E9)</f>
        <v>0</v>
      </c>
      <c r="I14" s="115"/>
      <c r="J14" s="275"/>
      <c r="K14" s="109"/>
      <c r="L14" s="90"/>
      <c r="M14" s="90"/>
      <c r="N14" s="90"/>
    </row>
    <row r="15" spans="1:14" ht="15" hidden="1" customHeight="1">
      <c r="A15" s="307" t="s">
        <v>37</v>
      </c>
      <c r="B15" s="301"/>
      <c r="C15" s="272"/>
      <c r="D15" s="406" t="s">
        <v>192</v>
      </c>
      <c r="E15" s="406"/>
      <c r="F15" s="280">
        <f>E9</f>
        <v>0</v>
      </c>
      <c r="G15" s="281">
        <f>F15*1.4018</f>
        <v>0</v>
      </c>
      <c r="H15" s="281">
        <f>G15*1.1</f>
        <v>0</v>
      </c>
      <c r="I15" s="282">
        <f t="shared" ref="I15" si="0">H15+((F15*1.1)-F15)</f>
        <v>0</v>
      </c>
      <c r="J15" s="274"/>
      <c r="K15" s="108"/>
      <c r="L15" s="90"/>
      <c r="M15" s="90"/>
      <c r="N15" s="90"/>
    </row>
    <row r="16" spans="1:14" ht="15.75" hidden="1" customHeight="1">
      <c r="A16" s="308" t="s">
        <v>25</v>
      </c>
      <c r="B16" s="302"/>
      <c r="C16" s="272"/>
      <c r="F16" s="283"/>
      <c r="G16" s="283"/>
      <c r="H16" s="283"/>
      <c r="I16" s="283"/>
      <c r="J16" s="275"/>
      <c r="K16" s="110"/>
      <c r="L16" s="90"/>
      <c r="M16" s="90"/>
      <c r="N16" s="90"/>
    </row>
    <row r="17" spans="1:14" ht="0.95" customHeight="1">
      <c r="A17" s="309" t="s">
        <v>249</v>
      </c>
      <c r="B17" s="303"/>
      <c r="C17" s="272"/>
      <c r="F17" s="283"/>
      <c r="G17" s="283"/>
      <c r="H17" s="283"/>
      <c r="I17" s="283"/>
      <c r="J17" s="274"/>
      <c r="K17" s="90"/>
      <c r="L17" s="90"/>
      <c r="M17" s="90"/>
      <c r="N17" s="90"/>
    </row>
    <row r="18" spans="1:14" ht="19.5">
      <c r="A18" s="306" t="s">
        <v>254</v>
      </c>
      <c r="B18" s="304"/>
      <c r="C18" s="272"/>
      <c r="D18" s="250"/>
      <c r="E18" s="250"/>
      <c r="F18" s="115"/>
      <c r="G18" s="251"/>
      <c r="H18" s="251"/>
      <c r="I18" s="251"/>
      <c r="J18" s="273"/>
      <c r="K18" s="90"/>
      <c r="L18" s="90"/>
      <c r="M18" s="90"/>
      <c r="N18" s="90"/>
    </row>
    <row r="19" spans="1:14" ht="21">
      <c r="A19" s="310" t="s">
        <v>27</v>
      </c>
      <c r="B19" s="304"/>
      <c r="C19" s="248" t="str">
        <f>IF(B9="Oui","Erreur uniquement intérimaire","")</f>
        <v/>
      </c>
      <c r="D19" s="252"/>
      <c r="E19" s="253"/>
      <c r="F19" s="284"/>
      <c r="G19" s="251"/>
      <c r="H19" s="251"/>
      <c r="I19" s="251"/>
      <c r="J19" s="273"/>
      <c r="K19" s="90"/>
      <c r="L19" s="90"/>
      <c r="M19" s="90"/>
      <c r="N19" s="90"/>
    </row>
    <row r="20" spans="1:14" ht="21">
      <c r="A20" s="310" t="s">
        <v>253</v>
      </c>
      <c r="B20" s="304">
        <v>35</v>
      </c>
      <c r="C20" s="248"/>
      <c r="D20" s="252"/>
      <c r="E20" s="253"/>
      <c r="F20" s="284"/>
      <c r="G20" s="285"/>
      <c r="H20" s="255"/>
      <c r="I20" s="255"/>
      <c r="J20" s="126"/>
      <c r="K20" s="90"/>
      <c r="L20" s="90"/>
      <c r="M20" s="90"/>
      <c r="N20" s="90"/>
    </row>
    <row r="21" spans="1:14" ht="19.5">
      <c r="A21" s="306" t="s">
        <v>45</v>
      </c>
      <c r="B21" s="378" t="str">
        <f>IF(B20*B18*4.333333333333&gt;213,(B20*B18*4.333333333333)-(1820*11.7%),"")</f>
        <v/>
      </c>
      <c r="C21" s="306" t="s">
        <v>251</v>
      </c>
      <c r="D21" s="315" t="e">
        <f>B19/B21</f>
        <v>#VALUE!</v>
      </c>
      <c r="E21" s="249" t="e">
        <f>D21</f>
        <v>#VALUE!</v>
      </c>
      <c r="F21" s="111">
        <v>15</v>
      </c>
      <c r="G21" s="112" t="e">
        <f>#REF!+#REF!*(F21/100)</f>
        <v>#REF!</v>
      </c>
      <c r="H21" s="402" t="e">
        <f>G21*B103</f>
        <v>#REF!</v>
      </c>
      <c r="I21" s="403"/>
      <c r="J21" s="126"/>
      <c r="K21" s="90"/>
      <c r="L21" s="90"/>
      <c r="M21" s="90"/>
      <c r="N21" s="90"/>
    </row>
    <row r="22" spans="1:14" ht="38.25" customHeight="1">
      <c r="A22" s="311" t="s">
        <v>262</v>
      </c>
      <c r="B22" s="113" t="s">
        <v>266</v>
      </c>
      <c r="C22" s="88"/>
      <c r="D22" s="88"/>
      <c r="E22" s="102"/>
      <c r="F22" s="114"/>
      <c r="G22" s="277"/>
      <c r="H22" s="278"/>
      <c r="I22" s="126"/>
      <c r="J22" s="126"/>
      <c r="K22" s="90"/>
      <c r="L22" s="90"/>
      <c r="M22" s="90"/>
      <c r="N22" s="90"/>
    </row>
    <row r="23" spans="1:14" ht="58.5">
      <c r="A23" s="312" t="s">
        <v>256</v>
      </c>
      <c r="B23" s="298">
        <v>11.88</v>
      </c>
      <c r="C23" s="334" t="s">
        <v>255</v>
      </c>
      <c r="D23" s="335">
        <f>B23*B20*4.33333333333333</f>
        <v>1801.7999999999988</v>
      </c>
      <c r="E23" s="88"/>
      <c r="F23" s="126"/>
      <c r="G23" s="126"/>
      <c r="H23" s="126"/>
      <c r="I23" s="126"/>
      <c r="J23" s="126"/>
      <c r="K23" s="90"/>
      <c r="L23" s="90"/>
      <c r="M23" s="90"/>
      <c r="N23" s="90"/>
    </row>
    <row r="24" spans="1:14" ht="19.5">
      <c r="A24" s="306" t="s">
        <v>5</v>
      </c>
      <c r="B24" s="294"/>
      <c r="C24" s="336" t="s">
        <v>28</v>
      </c>
      <c r="D24" s="337" t="e">
        <f>B24/B19</f>
        <v>#DIV/0!</v>
      </c>
      <c r="E24" s="116"/>
      <c r="F24" s="116"/>
      <c r="G24" s="279"/>
      <c r="H24" s="403">
        <f>G24*B103</f>
        <v>0</v>
      </c>
      <c r="I24" s="403"/>
      <c r="J24" s="126"/>
      <c r="K24" s="90"/>
      <c r="L24" s="90"/>
      <c r="M24" s="90"/>
      <c r="N24" s="90"/>
    </row>
    <row r="25" spans="1:14" ht="19.5">
      <c r="A25" s="117"/>
      <c r="B25" s="118"/>
      <c r="C25" s="119"/>
      <c r="D25" s="120"/>
      <c r="E25" s="116"/>
      <c r="F25" s="116"/>
      <c r="G25" s="279"/>
      <c r="H25" s="276"/>
      <c r="I25" s="276"/>
      <c r="J25" s="126"/>
      <c r="K25" s="90"/>
      <c r="L25" s="90"/>
      <c r="M25" s="90"/>
      <c r="N25" s="90"/>
    </row>
    <row r="26" spans="1:14" ht="19.5">
      <c r="A26" s="313" t="s">
        <v>11</v>
      </c>
      <c r="B26" s="294"/>
      <c r="C26" s="306" t="s">
        <v>203</v>
      </c>
      <c r="D26" s="121"/>
      <c r="E26" s="398" t="s">
        <v>206</v>
      </c>
      <c r="F26" s="399"/>
      <c r="G26" s="122"/>
      <c r="H26" s="317" t="s">
        <v>13</v>
      </c>
      <c r="I26" s="343">
        <f>G26+D26</f>
        <v>0</v>
      </c>
      <c r="J26" s="88"/>
      <c r="K26" s="90"/>
      <c r="L26" s="90"/>
      <c r="M26" s="90"/>
      <c r="N26" s="90"/>
    </row>
    <row r="27" spans="1:14" ht="19.5">
      <c r="A27" s="314" t="s">
        <v>6</v>
      </c>
      <c r="B27" s="294"/>
      <c r="C27" s="306" t="s">
        <v>203</v>
      </c>
      <c r="D27" s="121"/>
      <c r="E27" s="398" t="s">
        <v>206</v>
      </c>
      <c r="F27" s="399"/>
      <c r="G27" s="122"/>
      <c r="H27" s="317" t="s">
        <v>14</v>
      </c>
      <c r="I27" s="343">
        <f>G27+D27</f>
        <v>0</v>
      </c>
      <c r="J27" s="88"/>
      <c r="K27" s="90"/>
      <c r="L27" s="90"/>
      <c r="M27" s="90"/>
      <c r="N27" s="90"/>
    </row>
    <row r="28" spans="1:14" ht="19.5">
      <c r="A28" s="314" t="s">
        <v>7</v>
      </c>
      <c r="B28" s="294"/>
      <c r="C28" s="306" t="s">
        <v>203</v>
      </c>
      <c r="D28" s="121"/>
      <c r="E28" s="398" t="s">
        <v>206</v>
      </c>
      <c r="F28" s="399"/>
      <c r="G28" s="391"/>
      <c r="H28" s="317" t="s">
        <v>15</v>
      </c>
      <c r="I28" s="343">
        <f>G28+D28</f>
        <v>0</v>
      </c>
      <c r="J28" s="88"/>
      <c r="K28" s="90"/>
      <c r="L28" s="90"/>
      <c r="M28" s="90"/>
      <c r="N28" s="90"/>
    </row>
    <row r="29" spans="1:14" ht="19.5">
      <c r="A29" s="314" t="s">
        <v>207</v>
      </c>
      <c r="B29" s="294"/>
      <c r="C29" s="306" t="s">
        <v>203</v>
      </c>
      <c r="D29" s="121"/>
      <c r="E29" s="398" t="s">
        <v>206</v>
      </c>
      <c r="F29" s="399"/>
      <c r="G29" s="122"/>
      <c r="H29" s="317" t="s">
        <v>208</v>
      </c>
      <c r="I29" s="343">
        <f>G29+D29</f>
        <v>0</v>
      </c>
      <c r="J29" s="88"/>
      <c r="K29" s="90"/>
      <c r="L29" s="90"/>
      <c r="M29" s="90"/>
      <c r="N29" s="90"/>
    </row>
    <row r="30" spans="1:14" ht="32.25">
      <c r="A30" s="88"/>
      <c r="B30" s="88"/>
      <c r="C30" s="338" t="s">
        <v>209</v>
      </c>
      <c r="D30" s="340">
        <f>B19/7</f>
        <v>0</v>
      </c>
      <c r="E30" s="400" t="s">
        <v>210</v>
      </c>
      <c r="F30" s="401"/>
      <c r="G30" s="340" t="e">
        <f>(B21-B19)/7-(B18*2.5)</f>
        <v>#VALUE!</v>
      </c>
      <c r="H30" s="342" t="s">
        <v>269</v>
      </c>
      <c r="I30" s="344"/>
      <c r="J30" s="88"/>
      <c r="K30" s="90"/>
      <c r="L30" s="90"/>
      <c r="M30" s="90"/>
      <c r="N30" s="90"/>
    </row>
    <row r="31" spans="1:14" ht="19.5">
      <c r="A31" s="88"/>
      <c r="B31" s="88"/>
      <c r="C31" s="339" t="s">
        <v>211</v>
      </c>
      <c r="D31" s="341">
        <f>D30/5</f>
        <v>0</v>
      </c>
      <c r="E31" s="398" t="s">
        <v>211</v>
      </c>
      <c r="F31" s="399"/>
      <c r="G31" s="341" t="e">
        <f>G30/5</f>
        <v>#VALUE!</v>
      </c>
      <c r="H31" s="88"/>
      <c r="I31" s="88"/>
      <c r="J31" s="88"/>
      <c r="K31" s="90"/>
      <c r="L31" s="90"/>
      <c r="M31" s="90"/>
      <c r="N31" s="90"/>
    </row>
    <row r="32" spans="1:14" ht="19.5">
      <c r="A32" s="316" t="s">
        <v>286</v>
      </c>
      <c r="B32" s="389"/>
      <c r="C32" s="123"/>
      <c r="D32" s="124"/>
      <c r="E32" s="125"/>
      <c r="F32" s="126"/>
      <c r="G32" s="126"/>
      <c r="H32" s="88"/>
      <c r="I32" s="88"/>
      <c r="J32" s="88"/>
      <c r="K32" s="90"/>
      <c r="L32" s="90"/>
      <c r="M32" s="90"/>
      <c r="N32" s="90"/>
    </row>
    <row r="33" spans="1:14" ht="19.5">
      <c r="A33" s="317" t="s">
        <v>246</v>
      </c>
      <c r="B33" s="296"/>
      <c r="C33" s="123"/>
      <c r="D33" s="124"/>
      <c r="E33" s="125"/>
      <c r="F33" s="126"/>
      <c r="G33" s="126"/>
      <c r="H33" s="88"/>
      <c r="I33" s="88"/>
      <c r="J33" s="88"/>
      <c r="K33" s="90"/>
      <c r="L33" s="90"/>
      <c r="M33" s="90"/>
      <c r="N33" s="90"/>
    </row>
    <row r="34" spans="1:14" ht="19.5">
      <c r="A34" s="318" t="s">
        <v>186</v>
      </c>
      <c r="B34" s="297"/>
      <c r="C34" s="123"/>
      <c r="D34" s="124"/>
      <c r="E34" s="188"/>
      <c r="F34" s="155"/>
      <c r="G34" s="155"/>
      <c r="H34" s="155"/>
      <c r="I34" s="155"/>
      <c r="J34" s="155"/>
      <c r="K34" s="90"/>
      <c r="L34" s="90"/>
      <c r="M34" s="90"/>
      <c r="N34" s="90"/>
    </row>
    <row r="35" spans="1:14">
      <c r="A35" s="127"/>
      <c r="B35" s="123"/>
      <c r="C35" s="123"/>
      <c r="D35" s="124"/>
      <c r="E35" s="188"/>
      <c r="F35" s="155"/>
      <c r="G35" s="155"/>
      <c r="H35" s="155"/>
      <c r="I35" s="155"/>
      <c r="J35" s="155"/>
      <c r="K35" s="90"/>
      <c r="L35" s="90"/>
      <c r="M35" s="90"/>
      <c r="N35" s="90"/>
    </row>
    <row r="36" spans="1:14" ht="24">
      <c r="A36" s="128" t="s">
        <v>171</v>
      </c>
      <c r="B36" s="129"/>
      <c r="C36" s="130"/>
      <c r="D36" s="131"/>
      <c r="E36" s="247"/>
      <c r="F36" s="155"/>
      <c r="G36" s="155"/>
      <c r="H36" s="155"/>
      <c r="I36" s="155"/>
      <c r="J36" s="155"/>
      <c r="K36" s="90"/>
      <c r="L36" s="90"/>
      <c r="M36" s="90"/>
      <c r="N36" s="90"/>
    </row>
    <row r="37" spans="1:14" ht="19.5">
      <c r="A37" s="318" t="s">
        <v>44</v>
      </c>
      <c r="B37" s="387">
        <f>B19</f>
        <v>0</v>
      </c>
      <c r="C37" s="132"/>
      <c r="D37" s="133"/>
      <c r="E37" s="405"/>
      <c r="F37" s="405"/>
      <c r="G37" s="405"/>
      <c r="H37" s="155"/>
      <c r="I37" s="155"/>
      <c r="J37" s="155"/>
      <c r="K37" s="90"/>
      <c r="L37" s="90"/>
      <c r="M37" s="90"/>
      <c r="N37" s="90"/>
    </row>
    <row r="38" spans="1:14" ht="19.5">
      <c r="A38" s="318" t="s">
        <v>198</v>
      </c>
      <c r="B38" s="387" t="e">
        <f>B21-B19</f>
        <v>#VALUE!</v>
      </c>
      <c r="C38" s="266"/>
      <c r="D38" s="267"/>
      <c r="E38" s="268"/>
      <c r="F38" s="268"/>
      <c r="G38" s="196"/>
      <c r="H38" s="155"/>
      <c r="I38" s="155"/>
      <c r="J38" s="155"/>
      <c r="K38" s="90"/>
      <c r="L38" s="90"/>
      <c r="M38" s="90"/>
      <c r="N38" s="90"/>
    </row>
    <row r="39" spans="1:14" ht="15.95" customHeight="1">
      <c r="A39" s="376" t="s">
        <v>276</v>
      </c>
      <c r="B39" s="388">
        <f xml:space="preserve"> IF(B9="oui",B111,IF(B11="Oui",B114, IF(B10="Oui",IF(B13="&lt; Bac Pro",B115,B112), IF(B8="Intérimaire",B112,B113))))</f>
        <v>14</v>
      </c>
      <c r="C39" s="269"/>
      <c r="D39" s="267"/>
      <c r="E39" s="268"/>
      <c r="F39" s="268"/>
      <c r="G39" s="196"/>
      <c r="H39" s="155"/>
      <c r="I39" s="155"/>
      <c r="J39" s="155"/>
      <c r="K39" s="90"/>
      <c r="L39" s="90"/>
      <c r="M39" s="90"/>
      <c r="N39" s="90"/>
    </row>
    <row r="40" spans="1:14" ht="15.95" hidden="1" customHeight="1">
      <c r="A40" s="319" t="s">
        <v>276</v>
      </c>
      <c r="B40" s="320">
        <f>IF(B9="oui",B111,IF(B8="Intérimaire",B112,IF(B11="Oui",B114,B113)))</f>
        <v>14</v>
      </c>
      <c r="C40" s="263" t="str">
        <f>IF(B8="Permanent CDI",#REF!,E40)</f>
        <v/>
      </c>
      <c r="D40" s="134">
        <f>IF(B9="Oui",B111,B107)</f>
        <v>17</v>
      </c>
      <c r="E40" s="135" t="str">
        <f>IF(B8="","",D40)</f>
        <v/>
      </c>
      <c r="F40" s="115" t="str">
        <f>IF(C41="",E40,C41)</f>
        <v/>
      </c>
      <c r="G40" s="155"/>
      <c r="H40" s="155"/>
      <c r="I40" s="155"/>
      <c r="J40" s="155"/>
      <c r="K40" s="90"/>
      <c r="L40" s="90"/>
      <c r="M40" s="90"/>
      <c r="N40" s="90"/>
    </row>
    <row r="41" spans="1:14">
      <c r="A41" s="136"/>
      <c r="B41" s="137"/>
      <c r="C41" s="270" t="str">
        <f>IF(B8="Permanent CDD",#REF!,"")</f>
        <v/>
      </c>
      <c r="D41" s="134"/>
      <c r="E41" s="135"/>
      <c r="F41" s="115"/>
      <c r="G41" s="155"/>
      <c r="H41" s="155"/>
      <c r="I41" s="155"/>
      <c r="J41" s="155"/>
      <c r="K41" s="90"/>
      <c r="L41" s="90"/>
      <c r="M41" s="90"/>
      <c r="N41" s="90"/>
    </row>
    <row r="42" spans="1:14" ht="24">
      <c r="A42" s="139" t="s">
        <v>212</v>
      </c>
      <c r="B42" s="140"/>
      <c r="C42" s="141"/>
      <c r="D42" s="142"/>
      <c r="E42" s="162"/>
      <c r="F42" s="155"/>
      <c r="G42" s="155"/>
      <c r="H42" s="155"/>
      <c r="I42" s="155"/>
      <c r="J42" s="155"/>
      <c r="K42" s="90"/>
      <c r="L42" s="90"/>
      <c r="M42" s="90"/>
      <c r="N42" s="90"/>
    </row>
    <row r="43" spans="1:14" ht="19.5">
      <c r="A43" s="319" t="s">
        <v>193</v>
      </c>
      <c r="B43" s="345" t="e">
        <f>IF(B8="Intérimaire",G8*B19,F8*B19)</f>
        <v>#VALUE!</v>
      </c>
      <c r="C43" s="143"/>
      <c r="D43" s="142"/>
      <c r="E43" s="162"/>
      <c r="F43" s="155"/>
      <c r="G43" s="155"/>
      <c r="H43" s="155"/>
      <c r="I43" s="155"/>
      <c r="J43" s="155"/>
      <c r="K43" s="90"/>
      <c r="L43" s="90"/>
      <c r="M43" s="90"/>
      <c r="N43" s="90"/>
    </row>
    <row r="44" spans="1:14" ht="19.5">
      <c r="A44" s="319" t="s">
        <v>195</v>
      </c>
      <c r="B44" s="345" t="e">
        <f>IF(B8="Intérimaire",H14*B38,F8*B38)</f>
        <v>#VALUE!</v>
      </c>
      <c r="C44" s="143"/>
      <c r="D44" s="142"/>
      <c r="E44" s="162"/>
      <c r="F44" s="155"/>
      <c r="G44" s="155"/>
      <c r="H44" s="155"/>
      <c r="I44" s="155"/>
      <c r="J44" s="155"/>
      <c r="K44" s="90"/>
      <c r="L44" s="90"/>
      <c r="M44" s="90"/>
      <c r="N44" s="90"/>
    </row>
    <row r="45" spans="1:14" ht="19.5">
      <c r="A45" s="346" t="s">
        <v>194</v>
      </c>
      <c r="B45" s="347" t="e">
        <f>B43+B44</f>
        <v>#VALUE!</v>
      </c>
      <c r="C45" s="143"/>
      <c r="D45" s="142"/>
      <c r="E45" s="162"/>
      <c r="F45" s="155"/>
      <c r="G45" s="155"/>
      <c r="H45" s="155"/>
      <c r="I45" s="155"/>
      <c r="J45" s="155"/>
      <c r="K45" s="90"/>
      <c r="L45" s="90"/>
      <c r="M45" s="90"/>
      <c r="N45" s="90"/>
    </row>
    <row r="46" spans="1:14" ht="19.5">
      <c r="A46" s="144"/>
      <c r="B46" s="145"/>
      <c r="C46" s="146"/>
      <c r="D46" s="142"/>
      <c r="E46" s="162"/>
      <c r="F46" s="155"/>
      <c r="G46" s="155"/>
      <c r="H46" s="155"/>
      <c r="I46" s="155"/>
      <c r="J46" s="155"/>
      <c r="K46" s="90"/>
      <c r="L46" s="90"/>
      <c r="M46" s="90"/>
      <c r="N46" s="90"/>
    </row>
    <row r="47" spans="1:14" ht="24" hidden="1">
      <c r="A47" s="147"/>
      <c r="B47" s="148"/>
      <c r="C47" s="148"/>
      <c r="D47" s="148"/>
      <c r="E47" s="149"/>
      <c r="F47" s="126"/>
      <c r="G47" s="126"/>
      <c r="H47" s="126"/>
      <c r="I47" s="126"/>
      <c r="J47" s="88"/>
      <c r="K47" s="90"/>
      <c r="L47" s="90"/>
      <c r="M47" s="90"/>
      <c r="N47" s="90"/>
    </row>
    <row r="48" spans="1:14" ht="24">
      <c r="A48" s="150" t="s">
        <v>245</v>
      </c>
      <c r="B48" s="151" t="s">
        <v>0</v>
      </c>
      <c r="C48" s="152" t="s">
        <v>1</v>
      </c>
      <c r="D48" s="152" t="s">
        <v>2</v>
      </c>
      <c r="E48" s="151" t="s">
        <v>204</v>
      </c>
      <c r="F48" s="153" t="s">
        <v>205</v>
      </c>
      <c r="G48" s="126"/>
      <c r="H48" s="126"/>
      <c r="I48" s="126"/>
      <c r="J48" s="88"/>
      <c r="K48" s="90"/>
      <c r="L48" s="90"/>
      <c r="M48" s="90"/>
      <c r="N48" s="90"/>
    </row>
    <row r="49" spans="1:14" ht="19.5">
      <c r="A49" s="318" t="s">
        <v>19</v>
      </c>
      <c r="B49" s="348">
        <f>I26</f>
        <v>0</v>
      </c>
      <c r="C49" s="345">
        <f>B26</f>
        <v>0</v>
      </c>
      <c r="D49" s="349">
        <f>C49*I26</f>
        <v>0</v>
      </c>
      <c r="E49" s="350">
        <f>D26*B26</f>
        <v>0</v>
      </c>
      <c r="F49" s="350">
        <f>G26*B26</f>
        <v>0</v>
      </c>
      <c r="G49" s="126"/>
      <c r="H49" s="126"/>
      <c r="I49" s="126"/>
      <c r="J49" s="88"/>
      <c r="K49" s="90"/>
      <c r="L49" s="90"/>
      <c r="M49" s="90"/>
      <c r="N49" s="90"/>
    </row>
    <row r="50" spans="1:14" ht="19.5">
      <c r="A50" s="318" t="s">
        <v>20</v>
      </c>
      <c r="B50" s="348">
        <f>I27</f>
        <v>0</v>
      </c>
      <c r="C50" s="345">
        <f>B27</f>
        <v>0</v>
      </c>
      <c r="D50" s="349">
        <f>C50*I27</f>
        <v>0</v>
      </c>
      <c r="E50" s="350">
        <f>D27*B27</f>
        <v>0</v>
      </c>
      <c r="F50" s="350">
        <f>G27*B27</f>
        <v>0</v>
      </c>
      <c r="G50" s="126"/>
      <c r="H50" s="126"/>
      <c r="I50" s="126"/>
      <c r="J50" s="88"/>
      <c r="K50" s="90"/>
      <c r="L50" s="90"/>
      <c r="M50" s="90"/>
      <c r="N50" s="90"/>
    </row>
    <row r="51" spans="1:14" ht="19.5">
      <c r="A51" s="318" t="s">
        <v>21</v>
      </c>
      <c r="B51" s="348">
        <f>I28</f>
        <v>0</v>
      </c>
      <c r="C51" s="347">
        <f>B28</f>
        <v>0</v>
      </c>
      <c r="D51" s="349">
        <f>C51*I28</f>
        <v>0</v>
      </c>
      <c r="E51" s="350">
        <f>D28*B28</f>
        <v>0</v>
      </c>
      <c r="F51" s="350">
        <f>G28*B28</f>
        <v>0</v>
      </c>
      <c r="G51" s="126"/>
      <c r="H51" s="126"/>
      <c r="I51" s="126"/>
      <c r="J51" s="88"/>
      <c r="K51" s="90"/>
      <c r="L51" s="90"/>
      <c r="M51" s="90"/>
      <c r="N51" s="90"/>
    </row>
    <row r="52" spans="1:14" ht="19.5">
      <c r="A52" s="351" t="s">
        <v>22</v>
      </c>
      <c r="B52" s="348">
        <f>I29</f>
        <v>0</v>
      </c>
      <c r="C52" s="345">
        <f>B29</f>
        <v>0</v>
      </c>
      <c r="D52" s="349">
        <f>C52*I29</f>
        <v>0</v>
      </c>
      <c r="E52" s="350">
        <f>D29*B29</f>
        <v>0</v>
      </c>
      <c r="F52" s="350">
        <f>B52*B29</f>
        <v>0</v>
      </c>
      <c r="G52" s="126"/>
      <c r="H52" s="126"/>
      <c r="I52" s="126"/>
      <c r="J52" s="88"/>
      <c r="K52" s="90"/>
      <c r="L52" s="90"/>
      <c r="M52" s="90"/>
      <c r="N52" s="90"/>
    </row>
    <row r="53" spans="1:14" ht="19.5">
      <c r="A53" s="154"/>
      <c r="B53" s="155"/>
      <c r="C53" s="339" t="s">
        <v>242</v>
      </c>
      <c r="D53" s="349">
        <f>SUM(D47:D52)</f>
        <v>0</v>
      </c>
      <c r="E53" s="350">
        <f>E49+E50+E51+E52</f>
        <v>0</v>
      </c>
      <c r="F53" s="350">
        <f>F49+F50+F51+F52</f>
        <v>0</v>
      </c>
      <c r="G53" s="126"/>
      <c r="H53" s="126"/>
      <c r="I53" s="126"/>
      <c r="J53" s="88"/>
      <c r="K53" s="90"/>
      <c r="L53" s="90"/>
      <c r="M53" s="90"/>
      <c r="N53" s="90"/>
    </row>
    <row r="54" spans="1:14" ht="19.5" hidden="1">
      <c r="A54" s="156"/>
      <c r="B54" s="157"/>
      <c r="C54" s="146"/>
      <c r="D54" s="142"/>
      <c r="E54" s="138"/>
      <c r="F54" s="126"/>
      <c r="G54" s="126"/>
      <c r="H54" s="126"/>
      <c r="I54" s="126"/>
      <c r="J54" s="88"/>
      <c r="K54" s="90"/>
      <c r="L54" s="90"/>
      <c r="M54" s="90"/>
      <c r="N54" s="90"/>
    </row>
    <row r="55" spans="1:14" ht="19.5" hidden="1">
      <c r="A55" s="156"/>
      <c r="B55" s="157"/>
      <c r="C55" s="146"/>
      <c r="D55" s="142"/>
      <c r="E55" s="138"/>
      <c r="F55" s="126"/>
      <c r="G55" s="126"/>
      <c r="H55" s="126"/>
      <c r="I55" s="126"/>
      <c r="J55" s="88"/>
      <c r="K55" s="90"/>
      <c r="L55" s="90"/>
      <c r="M55" s="90"/>
      <c r="N55" s="90"/>
    </row>
    <row r="56" spans="1:14">
      <c r="A56" s="158"/>
      <c r="B56" s="159"/>
      <c r="C56" s="160"/>
      <c r="D56" s="134"/>
      <c r="E56" s="135"/>
      <c r="F56" s="115"/>
      <c r="G56" s="115"/>
      <c r="H56" s="126"/>
      <c r="I56" s="126"/>
      <c r="J56" s="88"/>
      <c r="K56" s="90"/>
      <c r="L56" s="90"/>
      <c r="M56" s="90"/>
      <c r="N56" s="90"/>
    </row>
    <row r="57" spans="1:14" ht="24">
      <c r="A57" s="139" t="s">
        <v>263</v>
      </c>
      <c r="B57" s="140"/>
      <c r="C57" s="140"/>
      <c r="D57" s="134"/>
      <c r="E57" s="135"/>
      <c r="F57" s="115"/>
      <c r="G57" s="115"/>
      <c r="H57" s="126"/>
      <c r="I57" s="126"/>
      <c r="J57" s="88"/>
      <c r="K57" s="90"/>
      <c r="L57" s="90"/>
      <c r="M57" s="90"/>
      <c r="N57" s="90"/>
    </row>
    <row r="58" spans="1:14" ht="19.5">
      <c r="A58" s="319" t="s">
        <v>277</v>
      </c>
      <c r="B58" s="380" t="e">
        <f>IF(B8="Intérimaire",G13*B19, F13*B19)</f>
        <v>#VALUE!</v>
      </c>
      <c r="C58" s="381"/>
      <c r="D58" s="134"/>
      <c r="E58" s="135"/>
      <c r="F58" s="115"/>
      <c r="G58" s="115"/>
      <c r="H58" s="126"/>
      <c r="I58" s="126"/>
      <c r="J58" s="88"/>
      <c r="K58" s="90"/>
      <c r="L58" s="90"/>
      <c r="M58" s="90"/>
      <c r="N58" s="90"/>
    </row>
    <row r="59" spans="1:14" ht="19.5" hidden="1">
      <c r="A59" s="319" t="s">
        <v>201</v>
      </c>
      <c r="B59" s="382" t="e">
        <f>B58</f>
        <v>#VALUE!</v>
      </c>
      <c r="C59" s="381"/>
      <c r="D59" s="161"/>
      <c r="E59" s="162"/>
      <c r="F59" s="155"/>
      <c r="G59" s="155"/>
      <c r="H59" s="155"/>
      <c r="I59" s="155"/>
      <c r="J59" s="88"/>
      <c r="K59" s="90"/>
      <c r="L59" s="90"/>
      <c r="M59" s="90"/>
      <c r="N59" s="90"/>
    </row>
    <row r="60" spans="1:14" ht="19.5">
      <c r="A60" s="319" t="s">
        <v>199</v>
      </c>
      <c r="B60" s="380">
        <f>B24</f>
        <v>0</v>
      </c>
      <c r="C60" s="381"/>
      <c r="D60" s="134"/>
      <c r="E60" s="135"/>
      <c r="F60" s="115"/>
      <c r="G60" s="115"/>
      <c r="H60" s="126"/>
      <c r="I60" s="126"/>
      <c r="J60" s="88"/>
      <c r="K60" s="90"/>
      <c r="L60" s="90"/>
      <c r="M60" s="90"/>
      <c r="N60" s="90"/>
    </row>
    <row r="61" spans="1:14" ht="19.5">
      <c r="A61" s="319" t="s">
        <v>200</v>
      </c>
      <c r="B61" s="380">
        <f>E53</f>
        <v>0</v>
      </c>
      <c r="C61" s="381"/>
      <c r="D61" s="161"/>
      <c r="E61" s="162"/>
      <c r="F61" s="155"/>
      <c r="G61" s="155"/>
      <c r="H61" s="155"/>
      <c r="I61" s="155"/>
      <c r="J61" s="88"/>
      <c r="K61" s="90"/>
      <c r="L61" s="90"/>
      <c r="M61" s="90"/>
      <c r="N61" s="90"/>
    </row>
    <row r="62" spans="1:14" ht="19.5">
      <c r="A62" s="352" t="s">
        <v>252</v>
      </c>
      <c r="B62" s="354" t="e">
        <f>B59+B60+B61</f>
        <v>#VALUE!</v>
      </c>
      <c r="C62" s="355"/>
      <c r="D62" s="161"/>
      <c r="E62" s="162"/>
      <c r="F62" s="155"/>
      <c r="G62" s="155"/>
      <c r="H62" s="155"/>
      <c r="I62" s="155"/>
      <c r="J62" s="88"/>
      <c r="K62" s="90"/>
      <c r="L62" s="90"/>
      <c r="M62" s="90"/>
      <c r="N62" s="90"/>
    </row>
    <row r="63" spans="1:14">
      <c r="A63" s="163"/>
      <c r="B63" s="164"/>
      <c r="C63" s="137"/>
      <c r="D63" s="161"/>
      <c r="E63" s="162"/>
      <c r="F63" s="155"/>
      <c r="G63" s="155"/>
      <c r="H63" s="155"/>
      <c r="I63" s="155"/>
      <c r="J63" s="88"/>
      <c r="K63" s="90"/>
      <c r="L63" s="90"/>
      <c r="M63" s="90"/>
      <c r="N63" s="90"/>
    </row>
    <row r="64" spans="1:14" ht="24.75" thickBot="1">
      <c r="A64" s="397" t="s">
        <v>213</v>
      </c>
      <c r="B64" s="397"/>
      <c r="C64" s="397"/>
      <c r="D64" s="161"/>
      <c r="E64" s="162"/>
      <c r="F64" s="155"/>
      <c r="G64" s="155"/>
      <c r="H64" s="155"/>
      <c r="I64" s="155"/>
      <c r="J64" s="88"/>
      <c r="K64" s="90"/>
      <c r="L64" s="90"/>
      <c r="M64" s="90"/>
      <c r="N64" s="90"/>
    </row>
    <row r="65" spans="1:14" ht="20.25" thickBot="1">
      <c r="A65" s="165" t="s">
        <v>175</v>
      </c>
      <c r="B65" s="166" t="s">
        <v>176</v>
      </c>
      <c r="C65" s="167" t="s">
        <v>174</v>
      </c>
      <c r="D65" s="168"/>
      <c r="E65" s="169"/>
      <c r="F65" s="170"/>
      <c r="G65" s="170"/>
      <c r="H65" s="171"/>
      <c r="I65" s="155"/>
      <c r="J65" s="88"/>
      <c r="K65" s="90"/>
      <c r="L65" s="90"/>
      <c r="M65" s="90"/>
      <c r="N65" s="90"/>
    </row>
    <row r="66" spans="1:14" ht="19.5">
      <c r="A66" s="362" t="s">
        <v>169</v>
      </c>
      <c r="B66" s="383" t="e">
        <f>IF(B8="Intérimaire",G8*B19+H14*B38,F8*B21)</f>
        <v>#VALUE!</v>
      </c>
      <c r="C66" s="384" t="e">
        <f>(B66)/B69</f>
        <v>#VALUE!</v>
      </c>
      <c r="D66" s="168"/>
      <c r="E66" s="170"/>
      <c r="F66" s="170">
        <f>B19/B20</f>
        <v>0</v>
      </c>
      <c r="G66" s="170"/>
      <c r="H66" s="172"/>
      <c r="I66" s="155"/>
      <c r="J66" s="88"/>
      <c r="K66" s="90"/>
      <c r="L66" s="90"/>
      <c r="M66" s="90"/>
      <c r="N66" s="90"/>
    </row>
    <row r="67" spans="1:14" ht="19.5">
      <c r="A67" s="351" t="s">
        <v>168</v>
      </c>
      <c r="B67" s="385">
        <f>D53</f>
        <v>0</v>
      </c>
      <c r="C67" s="386" t="e">
        <f>(B67)/B69</f>
        <v>#VALUE!</v>
      </c>
      <c r="D67" s="359" t="s">
        <v>196</v>
      </c>
      <c r="E67" s="360">
        <f>E53</f>
        <v>0</v>
      </c>
      <c r="F67" s="361" t="s">
        <v>197</v>
      </c>
      <c r="G67" s="360">
        <f>F53</f>
        <v>0</v>
      </c>
      <c r="H67" s="172"/>
      <c r="I67" s="155"/>
      <c r="J67" s="88"/>
      <c r="K67" s="90"/>
      <c r="L67" s="90"/>
      <c r="M67" s="90"/>
      <c r="N67" s="90"/>
    </row>
    <row r="68" spans="1:14" ht="19.5">
      <c r="A68" s="351" t="s">
        <v>167</v>
      </c>
      <c r="B68" s="385">
        <f>B24</f>
        <v>0</v>
      </c>
      <c r="C68" s="386" t="e">
        <f>(B68)/B69</f>
        <v>#VALUE!</v>
      </c>
      <c r="D68" s="173"/>
      <c r="E68" s="172"/>
      <c r="F68" s="172"/>
      <c r="G68" s="172"/>
      <c r="H68" s="172"/>
      <c r="I68" s="155"/>
      <c r="J68" s="88"/>
      <c r="K68" s="90"/>
      <c r="L68" s="90"/>
      <c r="M68" s="90"/>
      <c r="N68" s="90"/>
    </row>
    <row r="69" spans="1:14" ht="20.25" thickBot="1">
      <c r="A69" s="356" t="s">
        <v>170</v>
      </c>
      <c r="B69" s="357" t="e">
        <f>B66+B67+B68</f>
        <v>#VALUE!</v>
      </c>
      <c r="C69" s="358" t="e">
        <f>(B69)/B69</f>
        <v>#VALUE!</v>
      </c>
      <c r="D69" s="173"/>
      <c r="E69" s="172"/>
      <c r="F69" s="172"/>
      <c r="G69" s="172"/>
      <c r="H69" s="172"/>
      <c r="I69" s="155"/>
      <c r="J69" s="88"/>
      <c r="K69" s="90"/>
      <c r="L69" s="90"/>
      <c r="M69" s="90"/>
      <c r="N69" s="90"/>
    </row>
    <row r="70" spans="1:14" ht="20.25" thickBot="1">
      <c r="A70" s="174" t="s">
        <v>177</v>
      </c>
      <c r="B70" s="175"/>
      <c r="C70" s="167" t="s">
        <v>174</v>
      </c>
      <c r="D70" s="173"/>
      <c r="E70" s="172"/>
      <c r="F70" s="172"/>
      <c r="G70" s="172"/>
      <c r="H70" s="172"/>
      <c r="I70" s="155"/>
      <c r="J70" s="88"/>
      <c r="K70" s="90"/>
      <c r="L70" s="90"/>
      <c r="M70" s="90"/>
      <c r="N70" s="90"/>
    </row>
    <row r="71" spans="1:14" ht="19.5">
      <c r="A71" s="362" t="s">
        <v>283</v>
      </c>
      <c r="B71" s="390">
        <f>IF(B8="Permanent",B40*B19,D71)</f>
        <v>0</v>
      </c>
      <c r="C71" s="384" t="e">
        <f>B71/B69</f>
        <v>#VALUE!</v>
      </c>
      <c r="D71" s="168">
        <f>B37*B40</f>
        <v>0</v>
      </c>
      <c r="E71" s="289" t="e">
        <f>IF(B72&gt;G72,"Attention, montant maximum de financement du surcoût possible  indiqué ci-dessous","")</f>
        <v>#VALUE!</v>
      </c>
      <c r="F71" s="289"/>
      <c r="G71" s="88"/>
      <c r="H71" s="172"/>
      <c r="I71" s="155"/>
      <c r="J71" s="88"/>
      <c r="K71" s="90"/>
      <c r="L71" s="90"/>
      <c r="M71" s="90"/>
      <c r="N71" s="90"/>
    </row>
    <row r="72" spans="1:14" ht="19.5">
      <c r="A72" s="319" t="s">
        <v>284</v>
      </c>
      <c r="B72" s="345"/>
      <c r="C72" s="386" t="e">
        <f>(B72)/B69</f>
        <v>#VALUE!</v>
      </c>
      <c r="D72" s="398" t="s">
        <v>282</v>
      </c>
      <c r="E72" s="407"/>
      <c r="F72" s="365"/>
      <c r="G72" s="366" t="e">
        <f>B62-B71</f>
        <v>#VALUE!</v>
      </c>
      <c r="H72" s="367" t="s">
        <v>264</v>
      </c>
      <c r="I72" s="368">
        <f>F53</f>
        <v>0</v>
      </c>
      <c r="J72" s="88"/>
      <c r="K72" s="90"/>
      <c r="L72" s="90"/>
      <c r="M72" s="90"/>
      <c r="N72" s="90"/>
    </row>
    <row r="73" spans="1:14" ht="19.5">
      <c r="A73" s="319" t="s">
        <v>172</v>
      </c>
      <c r="B73" s="345"/>
      <c r="C73" s="386" t="e">
        <f>(B73)/B69</f>
        <v>#VALUE!</v>
      </c>
      <c r="D73" s="353" t="s">
        <v>188</v>
      </c>
      <c r="E73" s="369" t="e">
        <f>B38*(B32*B34)-(B38*H14)</f>
        <v>#VALUE!</v>
      </c>
      <c r="F73" s="404" t="s">
        <v>202</v>
      </c>
      <c r="G73" s="404"/>
      <c r="H73" s="350" t="e">
        <f>IF(B8="Intérimaire",G8*B19,F8*B19)</f>
        <v>#VALUE!</v>
      </c>
      <c r="I73" s="176"/>
      <c r="J73" s="155"/>
      <c r="K73" s="177"/>
      <c r="L73" s="90"/>
      <c r="M73" s="90"/>
      <c r="N73" s="90"/>
    </row>
    <row r="74" spans="1:14" ht="20.25" thickBot="1">
      <c r="A74" s="363" t="s">
        <v>173</v>
      </c>
      <c r="B74" s="364">
        <f>B71+B72+B73</f>
        <v>0</v>
      </c>
      <c r="C74" s="358" t="e">
        <f>(B74)/B69</f>
        <v>#VALUE!</v>
      </c>
      <c r="D74" s="319" t="s">
        <v>189</v>
      </c>
      <c r="E74" s="350" t="e">
        <f>B74-B69</f>
        <v>#VALUE!</v>
      </c>
      <c r="F74" s="178"/>
      <c r="G74" s="179"/>
      <c r="H74" s="172"/>
      <c r="I74" s="176"/>
      <c r="J74" s="88"/>
      <c r="K74" s="90"/>
      <c r="L74" s="90"/>
      <c r="M74" s="90"/>
      <c r="N74" s="90"/>
    </row>
    <row r="75" spans="1:14" ht="19.5">
      <c r="A75" s="180"/>
      <c r="B75" s="181"/>
      <c r="C75" s="182"/>
      <c r="D75" s="183"/>
      <c r="E75" s="184"/>
      <c r="F75" s="184"/>
      <c r="G75" s="185"/>
      <c r="H75" s="126"/>
      <c r="I75" s="176"/>
      <c r="J75" s="88"/>
      <c r="K75" s="90"/>
      <c r="L75" s="90"/>
      <c r="M75" s="90"/>
      <c r="N75" s="90"/>
    </row>
    <row r="76" spans="1:14" ht="20.25" thickBot="1">
      <c r="A76" s="370" t="s">
        <v>183</v>
      </c>
      <c r="B76" s="371" t="e">
        <f>B74-B69</f>
        <v>#VALUE!</v>
      </c>
      <c r="C76" s="372" t="e">
        <f>(B76)/B69</f>
        <v>#VALUE!</v>
      </c>
      <c r="D76" s="186"/>
      <c r="E76" s="184"/>
      <c r="F76" s="184"/>
      <c r="G76" s="185"/>
      <c r="H76" s="126"/>
      <c r="I76" s="176"/>
      <c r="J76" s="88"/>
      <c r="K76" s="90"/>
      <c r="L76" s="90"/>
      <c r="M76" s="90"/>
      <c r="N76" s="90"/>
    </row>
    <row r="77" spans="1:14" ht="16.5" thickTop="1">
      <c r="A77" s="187"/>
      <c r="B77" s="188"/>
      <c r="C77" s="189"/>
      <c r="D77" s="190"/>
      <c r="E77" s="191"/>
      <c r="F77" s="184"/>
      <c r="G77" s="192" t="str">
        <f>IF(B9="Oui",0,IF(B9="Non",1,""))</f>
        <v/>
      </c>
      <c r="H77" s="185"/>
      <c r="I77" s="155"/>
      <c r="J77" s="88"/>
      <c r="K77" s="90"/>
      <c r="L77" s="90"/>
      <c r="M77" s="90"/>
      <c r="N77" s="90"/>
    </row>
    <row r="78" spans="1:14" ht="30" hidden="1" customHeight="1">
      <c r="A78" s="408" t="s">
        <v>185</v>
      </c>
      <c r="B78" s="408"/>
      <c r="C78" s="193" t="s">
        <v>184</v>
      </c>
      <c r="D78" s="161"/>
      <c r="E78" s="161"/>
      <c r="F78" s="155"/>
      <c r="G78" s="155"/>
      <c r="H78" s="155"/>
      <c r="I78" s="155"/>
      <c r="J78" s="88"/>
      <c r="K78" s="90"/>
      <c r="L78" s="90"/>
      <c r="M78" s="90"/>
      <c r="N78" s="90"/>
    </row>
    <row r="79" spans="1:14" hidden="1">
      <c r="A79" s="194" t="s">
        <v>46</v>
      </c>
      <c r="B79" s="409"/>
      <c r="C79" s="410"/>
      <c r="D79" s="195"/>
      <c r="E79" s="405"/>
      <c r="F79" s="405"/>
      <c r="G79" s="405"/>
      <c r="H79" s="155"/>
      <c r="I79" s="155"/>
      <c r="J79" s="88"/>
      <c r="K79" s="90"/>
      <c r="L79" s="90"/>
      <c r="M79" s="90"/>
      <c r="N79" s="90"/>
    </row>
    <row r="80" spans="1:14" ht="16.5" hidden="1" thickBot="1">
      <c r="A80" s="197" t="s">
        <v>164</v>
      </c>
      <c r="B80" s="198"/>
      <c r="C80" s="199"/>
      <c r="D80" s="161"/>
      <c r="E80" s="162"/>
      <c r="F80" s="155"/>
      <c r="G80" s="155"/>
      <c r="H80" s="155"/>
      <c r="I80" s="155"/>
      <c r="J80" s="88"/>
      <c r="K80" s="90"/>
      <c r="L80" s="90"/>
      <c r="M80" s="90"/>
      <c r="N80" s="90"/>
    </row>
    <row r="81" spans="1:14" ht="20.25" hidden="1" thickBot="1">
      <c r="A81" s="200" t="s">
        <v>175</v>
      </c>
      <c r="B81" s="201" t="s">
        <v>176</v>
      </c>
      <c r="C81" s="202" t="s">
        <v>174</v>
      </c>
      <c r="D81" s="161"/>
      <c r="E81" s="162"/>
      <c r="F81" s="155"/>
      <c r="G81" s="155"/>
      <c r="H81" s="155"/>
      <c r="I81" s="155"/>
      <c r="J81" s="88"/>
      <c r="K81" s="90"/>
      <c r="L81" s="90"/>
      <c r="M81" s="90"/>
      <c r="N81" s="90"/>
    </row>
    <row r="82" spans="1:14" hidden="1">
      <c r="A82" s="203" t="s">
        <v>47</v>
      </c>
      <c r="B82" s="204" t="str">
        <f>IF(B8="Permanent",#REF!*B79,IF(B8="Intérimaire",#REF!*B79,""))</f>
        <v/>
      </c>
      <c r="C82" s="205" t="e">
        <f>(B82)/B85</f>
        <v>#VALUE!</v>
      </c>
      <c r="D82" s="161"/>
      <c r="E82" s="206"/>
      <c r="F82" s="206"/>
      <c r="G82" s="155"/>
      <c r="H82" s="155"/>
      <c r="I82" s="155"/>
      <c r="J82" s="88"/>
      <c r="K82" s="90"/>
      <c r="L82" s="90"/>
      <c r="M82" s="90"/>
      <c r="N82" s="90"/>
    </row>
    <row r="83" spans="1:14" hidden="1">
      <c r="A83" s="207" t="s">
        <v>48</v>
      </c>
      <c r="B83" s="208"/>
      <c r="C83" s="205" t="e">
        <f>(B83)/B85</f>
        <v>#VALUE!</v>
      </c>
      <c r="D83" s="161"/>
      <c r="E83" s="206"/>
      <c r="F83" s="206"/>
      <c r="G83" s="155"/>
      <c r="H83" s="155"/>
      <c r="I83" s="155"/>
      <c r="J83" s="88"/>
      <c r="K83" s="90"/>
      <c r="L83" s="90"/>
      <c r="M83" s="90"/>
      <c r="N83" s="90"/>
    </row>
    <row r="84" spans="1:14" ht="16.5" hidden="1" thickBot="1">
      <c r="A84" s="209" t="s">
        <v>190</v>
      </c>
      <c r="B84" s="210"/>
      <c r="C84" s="205" t="e">
        <f>(B84)/B85</f>
        <v>#VALUE!</v>
      </c>
      <c r="D84" s="161"/>
      <c r="E84" s="206"/>
      <c r="F84" s="206"/>
      <c r="G84" s="155"/>
      <c r="H84" s="155"/>
      <c r="I84" s="155"/>
      <c r="J84" s="88"/>
      <c r="K84" s="90"/>
      <c r="L84" s="90"/>
      <c r="M84" s="90"/>
      <c r="N84" s="90"/>
    </row>
    <row r="85" spans="1:14" ht="16.5" hidden="1" customHeight="1" thickBot="1">
      <c r="A85" s="211" t="s">
        <v>178</v>
      </c>
      <c r="B85" s="212" t="e">
        <f>B82+B83+B84</f>
        <v>#VALUE!</v>
      </c>
      <c r="C85" s="213" t="e">
        <f>(B85)/B85</f>
        <v>#VALUE!</v>
      </c>
      <c r="D85" s="161"/>
      <c r="E85" s="413" t="s">
        <v>215</v>
      </c>
      <c r="F85" s="414"/>
      <c r="G85" s="415"/>
      <c r="H85" s="214"/>
      <c r="I85" s="155"/>
      <c r="J85" s="88"/>
      <c r="K85" s="90"/>
      <c r="L85" s="90"/>
      <c r="M85" s="90"/>
      <c r="N85" s="90"/>
    </row>
    <row r="86" spans="1:14" ht="20.25" hidden="1" thickBot="1">
      <c r="A86" s="215" t="s">
        <v>177</v>
      </c>
      <c r="B86" s="201" t="s">
        <v>176</v>
      </c>
      <c r="C86" s="202" t="s">
        <v>174</v>
      </c>
      <c r="D86" s="161"/>
      <c r="E86" s="416"/>
      <c r="F86" s="417"/>
      <c r="G86" s="418"/>
      <c r="H86" s="214"/>
      <c r="I86" s="155"/>
      <c r="J86" s="88"/>
      <c r="K86" s="90"/>
      <c r="L86" s="90"/>
      <c r="M86" s="90"/>
      <c r="N86" s="90"/>
    </row>
    <row r="87" spans="1:14" hidden="1">
      <c r="A87" s="216" t="s">
        <v>165</v>
      </c>
      <c r="B87" s="217"/>
      <c r="C87" s="218" t="e">
        <f>(B87)/B85</f>
        <v>#VALUE!</v>
      </c>
      <c r="D87" s="161"/>
      <c r="E87" s="416"/>
      <c r="F87" s="417"/>
      <c r="G87" s="418"/>
      <c r="H87" s="214"/>
      <c r="I87" s="155"/>
      <c r="J87" s="88"/>
      <c r="K87" s="90"/>
      <c r="L87" s="90"/>
      <c r="M87" s="90"/>
      <c r="N87" s="90"/>
    </row>
    <row r="88" spans="1:14" ht="16.5" hidden="1" thickBot="1">
      <c r="A88" s="207" t="s">
        <v>182</v>
      </c>
      <c r="B88" s="219"/>
      <c r="C88" s="220" t="e">
        <f>(B88)/B85</f>
        <v>#VALUE!</v>
      </c>
      <c r="D88" s="161"/>
      <c r="E88" s="419"/>
      <c r="F88" s="420"/>
      <c r="G88" s="421"/>
      <c r="H88" s="214"/>
      <c r="I88" s="155"/>
      <c r="J88" s="88"/>
      <c r="K88" s="90"/>
      <c r="L88" s="90"/>
      <c r="M88" s="90"/>
      <c r="N88" s="90"/>
    </row>
    <row r="89" spans="1:14" hidden="1">
      <c r="A89" s="221" t="s">
        <v>214</v>
      </c>
      <c r="B89" s="222"/>
      <c r="C89" s="220" t="e">
        <f>(B89)/B85</f>
        <v>#VALUE!</v>
      </c>
      <c r="D89" s="161"/>
      <c r="E89" s="214"/>
      <c r="F89" s="214"/>
      <c r="G89" s="214"/>
      <c r="H89" s="214"/>
      <c r="I89" s="155"/>
      <c r="J89" s="88"/>
      <c r="K89" s="90"/>
      <c r="L89" s="90"/>
      <c r="M89" s="90"/>
      <c r="N89" s="90"/>
    </row>
    <row r="90" spans="1:14" hidden="1">
      <c r="A90" s="223" t="s">
        <v>191</v>
      </c>
      <c r="B90" s="222"/>
      <c r="C90" s="220" t="e">
        <f>(B90)/B85</f>
        <v>#VALUE!</v>
      </c>
      <c r="D90" s="161"/>
      <c r="E90" s="155"/>
      <c r="F90" s="155"/>
      <c r="G90" s="155"/>
      <c r="H90" s="155"/>
      <c r="I90" s="155"/>
      <c r="J90" s="88"/>
      <c r="K90" s="90"/>
      <c r="L90" s="90"/>
      <c r="M90" s="90"/>
      <c r="N90" s="90"/>
    </row>
    <row r="91" spans="1:14" ht="16.5" hidden="1" thickBot="1">
      <c r="A91" s="224" t="s">
        <v>166</v>
      </c>
      <c r="B91" s="225">
        <f>B87+B88+B89+B90</f>
        <v>0</v>
      </c>
      <c r="C91" s="226" t="e">
        <f>(B91)/B85</f>
        <v>#VALUE!</v>
      </c>
      <c r="D91" s="161"/>
      <c r="E91" s="155"/>
      <c r="F91" s="155"/>
      <c r="G91" s="155"/>
      <c r="H91" s="155"/>
      <c r="I91" s="155"/>
      <c r="J91" s="88"/>
      <c r="K91" s="90"/>
      <c r="L91" s="90"/>
      <c r="M91" s="90"/>
      <c r="N91" s="90"/>
    </row>
    <row r="92" spans="1:14" hidden="1">
      <c r="A92" s="183"/>
      <c r="B92" s="227"/>
      <c r="C92" s="228"/>
      <c r="D92" s="161"/>
      <c r="E92" s="155"/>
      <c r="F92" s="155"/>
      <c r="G92" s="155"/>
      <c r="H92" s="155"/>
      <c r="I92" s="155"/>
      <c r="J92" s="88"/>
      <c r="K92" s="90"/>
      <c r="L92" s="90"/>
      <c r="M92" s="90"/>
      <c r="N92" s="90"/>
    </row>
    <row r="93" spans="1:14" ht="16.5" hidden="1" thickBot="1">
      <c r="A93" s="229" t="s">
        <v>183</v>
      </c>
      <c r="B93" s="230" t="e">
        <f>IF(B14="&gt;30","!!! Apprentissage impossible car stagiaire + 30 ans !!!",B91-B85)</f>
        <v>#VALUE!</v>
      </c>
      <c r="C93" s="231" t="e">
        <f>(B93)/B85</f>
        <v>#VALUE!</v>
      </c>
      <c r="D93" s="232"/>
      <c r="E93" s="233"/>
      <c r="F93" s="233"/>
      <c r="G93" s="176"/>
      <c r="H93" s="155"/>
      <c r="I93" s="176"/>
      <c r="J93" s="88"/>
      <c r="K93" s="90"/>
      <c r="L93" s="90"/>
      <c r="M93" s="90"/>
      <c r="N93" s="90"/>
    </row>
    <row r="94" spans="1:14" ht="16.5" hidden="1" thickTop="1">
      <c r="A94" s="158"/>
      <c r="B94" s="188"/>
      <c r="C94" s="234"/>
      <c r="D94" s="232"/>
      <c r="E94" s="233"/>
      <c r="F94" s="233"/>
      <c r="G94" s="176"/>
      <c r="H94" s="155"/>
      <c r="I94" s="176"/>
      <c r="J94" s="88"/>
      <c r="K94" s="90"/>
      <c r="L94" s="90"/>
      <c r="M94" s="90"/>
      <c r="N94" s="90"/>
    </row>
    <row r="95" spans="1:14" ht="24" hidden="1">
      <c r="A95" s="430" t="s">
        <v>16</v>
      </c>
      <c r="B95" s="430"/>
      <c r="C95" s="430"/>
      <c r="D95" s="235"/>
      <c r="E95" s="155" t="str">
        <f>IF(B13="Inférieur ou égal au BAC","Eligible au CDPI",IF(B13="Supérieur au BAC","Non éligible au CDPI",""))</f>
        <v/>
      </c>
      <c r="F95" s="155"/>
      <c r="G95" s="155" t="str">
        <f>IF(B13="Inférieur ou égal au BAC","0",IF(B13="Supérieur au BAC",2,""))</f>
        <v/>
      </c>
      <c r="H95" s="155"/>
      <c r="I95" s="155"/>
      <c r="J95" s="88"/>
      <c r="K95" s="90"/>
      <c r="L95" s="90"/>
      <c r="M95" s="90"/>
      <c r="N95" s="90"/>
    </row>
    <row r="96" spans="1:14" ht="16.5" hidden="1" thickBot="1">
      <c r="A96" s="236" t="s">
        <v>179</v>
      </c>
      <c r="B96" s="412" t="e">
        <f>B76</f>
        <v>#VALUE!</v>
      </c>
      <c r="C96" s="412"/>
      <c r="D96" s="155"/>
      <c r="E96" s="155" t="str">
        <f>IF(B14="Supérieur ou égal à 450 heures","Eligible au CDPI",IF(B14="Inférieur à 450 heures","Non éligible au CDPI",""))</f>
        <v/>
      </c>
      <c r="F96" s="155"/>
      <c r="G96" s="155" t="str">
        <f>IF(B14="Supérieur ou égal à 450 heures",0,IF(B14="Inférieur à 450 heures",2,""))</f>
        <v/>
      </c>
      <c r="H96" s="155"/>
      <c r="I96" s="155"/>
      <c r="J96" s="88"/>
      <c r="K96" s="90"/>
      <c r="L96" s="90"/>
      <c r="M96" s="90"/>
      <c r="N96" s="90"/>
    </row>
    <row r="97" spans="1:15" hidden="1">
      <c r="A97" s="237" t="s">
        <v>180</v>
      </c>
      <c r="B97" s="432" t="e">
        <f>B93</f>
        <v>#VALUE!</v>
      </c>
      <c r="C97" s="432"/>
      <c r="D97" s="155"/>
      <c r="E97" s="155"/>
      <c r="F97" s="155"/>
      <c r="G97" s="155"/>
      <c r="H97" s="155"/>
      <c r="I97" s="155"/>
      <c r="J97" s="88"/>
      <c r="K97" s="90"/>
      <c r="L97" s="90"/>
      <c r="M97" s="90"/>
      <c r="N97" s="90"/>
    </row>
    <row r="98" spans="1:15" ht="16.5" hidden="1" thickBot="1">
      <c r="A98" s="411" t="e">
        <f>IF(B96&lt;B97," Le Contrat d'Apprentissage a plus de volume de marge",IF(B96&gt;B97," Le Contrat de Professionnalisation a plus de volume de marge",IF(B96=B97,"Le reste à charge est le même",)))</f>
        <v>#VALUE!</v>
      </c>
      <c r="B98" s="411"/>
      <c r="C98" s="411"/>
      <c r="D98" s="188"/>
      <c r="E98" s="155"/>
      <c r="F98" s="238"/>
      <c r="G98" s="155"/>
      <c r="H98" s="155"/>
      <c r="I98" s="155"/>
      <c r="J98" s="88"/>
      <c r="K98" s="90"/>
      <c r="L98" s="90"/>
      <c r="M98" s="90"/>
      <c r="N98" s="90"/>
    </row>
    <row r="99" spans="1:15" ht="16.5" thickBot="1">
      <c r="A99" s="239"/>
      <c r="B99" s="239"/>
      <c r="C99" s="239"/>
      <c r="D99" s="188"/>
      <c r="E99" s="155"/>
      <c r="F99" s="238"/>
      <c r="G99" s="155"/>
      <c r="H99" s="155"/>
      <c r="I99" s="155"/>
      <c r="J99" s="88"/>
      <c r="K99" s="90"/>
      <c r="L99" s="90"/>
      <c r="M99" s="90"/>
      <c r="N99" s="90"/>
    </row>
    <row r="100" spans="1:15" ht="20.25" thickTop="1">
      <c r="A100" s="427" t="s">
        <v>3</v>
      </c>
      <c r="B100" s="428"/>
      <c r="C100" s="429"/>
      <c r="D100" s="155"/>
      <c r="E100" s="155"/>
      <c r="F100" s="155"/>
      <c r="G100" s="155"/>
      <c r="H100" s="155"/>
      <c r="I100" s="155"/>
      <c r="J100" s="88"/>
      <c r="K100" s="90"/>
      <c r="L100" s="90"/>
      <c r="M100" s="90"/>
      <c r="N100" s="90"/>
    </row>
    <row r="101" spans="1:15" ht="20.25" hidden="1" thickTop="1">
      <c r="A101" s="424" t="s">
        <v>17</v>
      </c>
      <c r="B101" s="425"/>
      <c r="C101" s="426"/>
      <c r="D101" s="155"/>
      <c r="E101" s="155"/>
      <c r="F101" s="155"/>
      <c r="G101" s="155"/>
      <c r="H101" s="155"/>
      <c r="I101" s="155"/>
      <c r="J101" s="88"/>
      <c r="K101" s="90"/>
      <c r="L101" s="90"/>
      <c r="M101" s="90"/>
      <c r="N101" s="90"/>
    </row>
    <row r="102" spans="1:15" ht="19.5">
      <c r="A102" s="373" t="s">
        <v>285</v>
      </c>
      <c r="B102" s="433">
        <v>1.4017999999999999</v>
      </c>
      <c r="C102" s="433"/>
      <c r="D102" s="155"/>
      <c r="E102" s="155"/>
      <c r="F102" s="155"/>
      <c r="G102" s="155"/>
      <c r="H102" s="155"/>
      <c r="I102" s="155"/>
      <c r="J102" s="88"/>
      <c r="K102" s="90"/>
      <c r="L102" s="90"/>
      <c r="M102" s="90"/>
      <c r="N102" s="90"/>
    </row>
    <row r="103" spans="1:15" ht="19.5">
      <c r="A103" s="374" t="s">
        <v>250</v>
      </c>
      <c r="B103" s="434">
        <v>1.1000000000000001</v>
      </c>
      <c r="C103" s="434"/>
      <c r="D103" s="155"/>
      <c r="E103" s="155"/>
      <c r="F103" s="155"/>
      <c r="G103" s="155"/>
      <c r="H103" s="155"/>
      <c r="I103" s="155"/>
      <c r="J103" s="88"/>
      <c r="K103" s="90"/>
      <c r="L103" s="90"/>
      <c r="M103" s="90"/>
      <c r="N103" s="90"/>
    </row>
    <row r="104" spans="1:15" ht="19.5">
      <c r="A104" s="374" t="s">
        <v>259</v>
      </c>
      <c r="B104" s="431">
        <v>11.65</v>
      </c>
      <c r="C104" s="431"/>
      <c r="D104" s="155"/>
      <c r="E104" s="155"/>
      <c r="F104" s="155"/>
      <c r="G104" s="155"/>
      <c r="H104" s="155"/>
      <c r="I104" s="155"/>
      <c r="J104" s="88"/>
      <c r="K104" s="90"/>
      <c r="L104" s="90"/>
      <c r="M104" s="90"/>
      <c r="N104" s="90"/>
    </row>
    <row r="105" spans="1:15" ht="19.5" hidden="1">
      <c r="A105" s="422"/>
      <c r="B105" s="422"/>
      <c r="C105" s="423"/>
      <c r="D105" s="155"/>
      <c r="E105" s="155"/>
      <c r="F105" s="155"/>
      <c r="G105" s="155"/>
      <c r="H105" s="155"/>
      <c r="I105" s="155"/>
      <c r="J105" s="88"/>
      <c r="K105" s="90"/>
      <c r="L105" s="90"/>
      <c r="M105" s="90"/>
      <c r="N105" s="90"/>
    </row>
    <row r="106" spans="1:15" ht="17.45" customHeight="1">
      <c r="A106" s="241" t="s">
        <v>248</v>
      </c>
      <c r="B106" s="242" t="s">
        <v>216</v>
      </c>
      <c r="C106" s="243" t="s">
        <v>18</v>
      </c>
      <c r="D106" s="115"/>
      <c r="E106" s="155"/>
      <c r="F106" s="155"/>
      <c r="G106" s="155"/>
      <c r="H106" s="155"/>
      <c r="I106" s="155"/>
      <c r="J106" s="88"/>
      <c r="K106" s="90"/>
      <c r="L106" s="90"/>
      <c r="M106" s="90"/>
      <c r="N106" s="90"/>
    </row>
    <row r="107" spans="1:15" ht="19.5" hidden="1">
      <c r="A107" s="240" t="s">
        <v>271</v>
      </c>
      <c r="B107" s="295">
        <v>17</v>
      </c>
      <c r="C107" s="244">
        <v>15</v>
      </c>
      <c r="D107" s="115"/>
      <c r="E107" s="155"/>
      <c r="F107" s="155"/>
      <c r="G107" s="155"/>
      <c r="H107" s="155"/>
      <c r="I107" s="155"/>
      <c r="J107" s="88"/>
      <c r="K107" s="90"/>
      <c r="L107" s="90"/>
      <c r="M107" s="90"/>
      <c r="N107" s="90"/>
    </row>
    <row r="108" spans="1:15" ht="19.5" hidden="1">
      <c r="A108" s="240" t="s">
        <v>281</v>
      </c>
      <c r="B108" s="295">
        <v>14</v>
      </c>
      <c r="C108" s="155"/>
      <c r="D108" s="246"/>
      <c r="E108" s="246"/>
      <c r="F108" s="246"/>
      <c r="G108" s="246"/>
      <c r="H108" s="246"/>
      <c r="I108" s="246"/>
      <c r="J108" s="88"/>
      <c r="K108" s="90"/>
      <c r="L108" s="90"/>
      <c r="M108" s="90"/>
      <c r="N108" s="90"/>
    </row>
    <row r="109" spans="1:15" ht="19.5" hidden="1">
      <c r="A109" s="240" t="s">
        <v>273</v>
      </c>
      <c r="B109" s="295">
        <v>17</v>
      </c>
      <c r="C109" s="244"/>
      <c r="D109" s="115"/>
      <c r="E109" s="155"/>
      <c r="F109" s="155"/>
      <c r="G109" s="155"/>
      <c r="H109" s="155"/>
      <c r="I109" s="155"/>
      <c r="J109" s="88"/>
      <c r="K109" s="90"/>
      <c r="L109" s="90"/>
      <c r="M109" s="90"/>
      <c r="N109" s="90"/>
    </row>
    <row r="110" spans="1:15" ht="6.95" hidden="1" customHeight="1">
      <c r="A110" s="240" t="s">
        <v>272</v>
      </c>
      <c r="B110" s="295">
        <v>14</v>
      </c>
      <c r="C110" s="244"/>
      <c r="D110" s="115"/>
      <c r="E110" s="155"/>
      <c r="F110" s="155"/>
      <c r="G110" s="155"/>
      <c r="H110" s="155"/>
      <c r="I110" s="155"/>
      <c r="J110" s="88"/>
      <c r="K110" s="90"/>
      <c r="L110" s="90"/>
      <c r="M110" s="90"/>
      <c r="N110" s="90"/>
    </row>
    <row r="111" spans="1:15" ht="19.5">
      <c r="A111" s="374" t="s">
        <v>274</v>
      </c>
      <c r="B111" s="379">
        <v>27</v>
      </c>
      <c r="C111" s="245">
        <v>17</v>
      </c>
      <c r="D111" s="88"/>
      <c r="E111" s="155"/>
      <c r="F111" s="155"/>
      <c r="G111" s="155"/>
      <c r="H111" s="155"/>
      <c r="I111" s="155"/>
      <c r="J111" s="88"/>
      <c r="K111" s="90"/>
      <c r="L111" s="90"/>
      <c r="M111" s="90"/>
      <c r="N111" s="90"/>
    </row>
    <row r="112" spans="1:15" ht="19.5">
      <c r="A112" s="374" t="s">
        <v>279</v>
      </c>
      <c r="B112" s="379">
        <v>17</v>
      </c>
      <c r="C112" s="245">
        <v>19</v>
      </c>
      <c r="D112" s="88"/>
      <c r="E112" s="155"/>
      <c r="F112" s="155"/>
      <c r="G112" s="155"/>
      <c r="H112" s="155"/>
      <c r="I112" s="155"/>
      <c r="J112" s="88"/>
      <c r="K112" s="90"/>
      <c r="L112" s="90"/>
      <c r="M112" s="90"/>
      <c r="N112" s="90"/>
      <c r="O112" s="90"/>
    </row>
    <row r="113" spans="1:15" ht="19.5">
      <c r="A113" s="374" t="s">
        <v>280</v>
      </c>
      <c r="B113" s="379">
        <v>14</v>
      </c>
      <c r="C113" s="245">
        <v>20</v>
      </c>
      <c r="D113" s="88"/>
      <c r="E113" s="155"/>
      <c r="F113" s="155"/>
      <c r="G113" s="155"/>
      <c r="H113" s="155"/>
      <c r="I113" s="155"/>
      <c r="J113" s="88"/>
      <c r="K113" s="90"/>
      <c r="L113" s="90"/>
      <c r="M113" s="90"/>
      <c r="N113" s="90"/>
      <c r="O113" s="90"/>
    </row>
    <row r="114" spans="1:15" ht="19.5">
      <c r="A114" s="374" t="s">
        <v>289</v>
      </c>
      <c r="B114" s="379">
        <v>15</v>
      </c>
      <c r="C114" s="245">
        <v>21</v>
      </c>
      <c r="D114" s="88"/>
      <c r="E114" s="155"/>
      <c r="F114" s="155"/>
      <c r="G114" s="155"/>
      <c r="H114" s="155"/>
      <c r="I114" s="155"/>
      <c r="J114" s="88"/>
      <c r="K114" s="90"/>
      <c r="L114" s="90"/>
      <c r="M114" s="90"/>
      <c r="N114" s="90"/>
      <c r="O114" s="90"/>
    </row>
    <row r="115" spans="1:15" ht="19.5">
      <c r="A115" s="374" t="s">
        <v>288</v>
      </c>
      <c r="B115" s="379">
        <v>9.15</v>
      </c>
      <c r="C115" s="245">
        <v>22.5</v>
      </c>
      <c r="D115" s="88"/>
      <c r="E115" s="155"/>
      <c r="F115" s="155"/>
      <c r="G115" s="155"/>
      <c r="H115" s="155"/>
      <c r="I115" s="155"/>
      <c r="J115" s="88"/>
    </row>
  </sheetData>
  <sheetProtection algorithmName="SHA-512" hashValue="KIng8NBf8uOXmeyTgLCPVctCMiekLZFAjZgBuQ14oXuoRz7uhNIUQvJgRffA37e7OftoQYyu7xF5DkeliE5pOw==" saltValue="33JH2ASPOQRS/R8GL0Jg+Q==" spinCount="100000" sheet="1" objects="1" scenarios="1"/>
  <protectedRanges>
    <protectedRange sqref="B72" name="Plage8"/>
    <protectedRange sqref="G29 G26:G27" name="Plage6"/>
    <protectedRange sqref="B26:B29" name="Plage4"/>
    <protectedRange sqref="B18:B20" name="Plage2"/>
    <protectedRange sqref="B8:B14" name="Plage1"/>
    <protectedRange sqref="B22:B24" name="Plage3"/>
    <protectedRange sqref="D26:D29" name="Plage5"/>
    <protectedRange sqref="B32:B34" name="Plage7"/>
  </protectedRanges>
  <mergeCells count="29">
    <mergeCell ref="A105:C105"/>
    <mergeCell ref="A101:C101"/>
    <mergeCell ref="A100:C100"/>
    <mergeCell ref="A95:C95"/>
    <mergeCell ref="B104:C104"/>
    <mergeCell ref="B97:C97"/>
    <mergeCell ref="B102:C102"/>
    <mergeCell ref="B103:C103"/>
    <mergeCell ref="A78:B78"/>
    <mergeCell ref="B79:C79"/>
    <mergeCell ref="A98:C98"/>
    <mergeCell ref="B96:C96"/>
    <mergeCell ref="E85:G88"/>
    <mergeCell ref="E79:G79"/>
    <mergeCell ref="F73:G73"/>
    <mergeCell ref="E37:G37"/>
    <mergeCell ref="E31:F31"/>
    <mergeCell ref="D15:E15"/>
    <mergeCell ref="D72:E72"/>
    <mergeCell ref="H21:I21"/>
    <mergeCell ref="H24:I24"/>
    <mergeCell ref="E26:F26"/>
    <mergeCell ref="E27:F27"/>
    <mergeCell ref="E28:F28"/>
    <mergeCell ref="D1:G1"/>
    <mergeCell ref="C13:D14"/>
    <mergeCell ref="A64:C64"/>
    <mergeCell ref="E29:F29"/>
    <mergeCell ref="E30:F30"/>
  </mergeCells>
  <conditionalFormatting sqref="A58:C77">
    <cfRule type="containsErrors" dxfId="15" priority="4">
      <formula>ISERROR(A58)</formula>
    </cfRule>
  </conditionalFormatting>
  <conditionalFormatting sqref="B43:B45">
    <cfRule type="containsErrors" dxfId="14" priority="5">
      <formula>ISERROR(B43)</formula>
    </cfRule>
  </conditionalFormatting>
  <conditionalFormatting sqref="D21">
    <cfRule type="containsErrors" dxfId="13" priority="2">
      <formula>ISERROR(D21)</formula>
    </cfRule>
  </conditionalFormatting>
  <conditionalFormatting sqref="D24">
    <cfRule type="containsErrors" dxfId="12" priority="6">
      <formula>ISERROR(D24)</formula>
    </cfRule>
  </conditionalFormatting>
  <conditionalFormatting sqref="D72 F72:H72 D73:H74">
    <cfRule type="containsErrors" dxfId="11" priority="1">
      <formula>ISERROR(D72)</formula>
    </cfRule>
  </conditionalFormatting>
  <conditionalFormatting sqref="D5:H8">
    <cfRule type="containsErrors" dxfId="10" priority="7">
      <formula>ISERROR(D5)</formula>
    </cfRule>
  </conditionalFormatting>
  <conditionalFormatting sqref="E71">
    <cfRule type="containsErrors" dxfId="9" priority="3">
      <formula>ISERROR(E71)</formula>
    </cfRule>
  </conditionalFormatting>
  <conditionalFormatting sqref="H64">
    <cfRule type="containsErrors" dxfId="8" priority="8">
      <formula>ISERROR(H64)</formula>
    </cfRule>
  </conditionalFormatting>
  <dataValidations xWindow="1232" yWindow="634" count="12">
    <dataValidation type="whole" operator="greaterThan" allowBlank="1" showInputMessage="1" showErrorMessage="1" error="Veuillez renseigner le nombre d'heures de formation (minimum 150)" sqref="B19" xr:uid="{00000000-0002-0000-0000-000000000000}">
      <formula1>149</formula1>
    </dataValidation>
    <dataValidation allowBlank="1" showInputMessage="1" showErrorMessage="1" promptTitle="Perfom +" prompt="Oui = Vous avez versé votre investissement formation au FAF.TT, (Contribution 0.6%), _x000a_Non = Vous n'avez pas versé votre investissement formation au FAF.TT._x000a_* Consultez votre conseiller formation FAF.TT, votre responsable formation ou votre comptable._x000a_" sqref="A17" xr:uid="{00000000-0002-0000-0000-000001000000}"/>
    <dataValidation allowBlank="1" showInputMessage="1" showErrorMessage="1" prompt="Facultatif pour CPF : A renseigner uniquement pour comparaison avec forfaits pro" sqref="A15" xr:uid="{00000000-0002-0000-0000-000002000000}"/>
    <dataValidation allowBlank="1" showInputMessage="1" showErrorMessage="1" promptTitle="Formations certifiantes" prompt="Diplômes - Titres Professionnels - Certificats de Qualification Professionnelle" sqref="A16" xr:uid="{00000000-0002-0000-0000-000003000000}"/>
    <dataValidation type="whole" allowBlank="1" showInputMessage="1" showErrorMessage="1" sqref="C108" xr:uid="{00000000-0002-0000-0000-000006000000}">
      <formula1>1</formula1>
      <formula2>31</formula2>
    </dataValidation>
    <dataValidation operator="greaterThan" showInputMessage="1" showErrorMessage="1" sqref="B21" xr:uid="{00000000-0002-0000-0000-000007000000}"/>
    <dataValidation allowBlank="1" showInputMessage="1" showErrorMessage="1" prompt=" " sqref="A13" xr:uid="{C5025725-1A0B-4373-BCF6-BA3E38D2D89C}"/>
    <dataValidation allowBlank="1" showInputMessage="1" showErrorMessage="1" promptTitle="Ou imputer votre reste à charge?" sqref="A72" xr:uid="{EA21FC1C-2D7C-44CD-BF5A-B7AF534779ED}"/>
    <dataValidation allowBlank="1" showInputMessage="1" showErrorMessage="1" prompt="_x000a_" sqref="F22" xr:uid="{00000000-0002-0000-0000-000009000000}"/>
    <dataValidation type="whole" allowBlank="1" showInputMessage="1" showErrorMessage="1" sqref="B18" xr:uid="{A0CAB7FF-DFFC-4841-926A-F54407A9BF7C}">
      <formula1>6</formula1>
      <formula2>36</formula2>
    </dataValidation>
    <dataValidation type="whole" allowBlank="1" showInputMessage="1" showErrorMessage="1" error="Veuillez renseigner le nombre d'heures de formation (minimum 150)" sqref="B20" xr:uid="{0DDD126F-8D0C-4253-8A92-D087F8E08361}">
      <formula1>24</formula1>
      <formula2>35</formula2>
    </dataValidation>
    <dataValidation type="list" showInputMessage="1" showErrorMessage="1" sqref="B8" xr:uid="{00000000-0002-0000-0000-000011000000}">
      <formula1>"Intérimaire,permanent"</formula1>
    </dataValidation>
  </dataValidations>
  <hyperlinks>
    <hyperlink ref="C78" r:id="rId1" xr:uid="{00000000-0004-0000-0000-000002000000}"/>
    <hyperlink ref="E85:G88" r:id="rId2" tooltip="Pour connaître le coût pour l'entreprise sans passer par l'intérim" display="Lien vers Simulateur Apprentissage et contrat pro Rémunération et d'aides aux entreprises " xr:uid="{4E02E843-370C-4E0C-BE8B-5B1A0B5B276B}"/>
    <hyperlink ref="D4" r:id="rId3" xr:uid="{D96D68DA-C69A-4F41-A037-ED197C312388}"/>
  </hyperlinks>
  <pageMargins left="0.7" right="0.7" top="0.75" bottom="0.75" header="0.3" footer="0.3"/>
  <pageSetup paperSize="9" scale="67" orientation="landscape" r:id="rId4"/>
  <colBreaks count="1" manualBreakCount="1">
    <brk id="9" max="1048575" man="1"/>
  </colBreaks>
  <drawing r:id="rId5"/>
  <legacyDrawing r:id="rId6"/>
  <extLst>
    <ext xmlns:x14="http://schemas.microsoft.com/office/spreadsheetml/2009/9/main" uri="{CCE6A557-97BC-4b89-ADB6-D9C93CAAB3DF}">
      <x14:dataValidations xmlns:xm="http://schemas.microsoft.com/office/excel/2006/main" xWindow="1232" yWindow="634" count="6">
        <x14:dataValidation type="list" allowBlank="1" showInputMessage="1" showErrorMessage="1" xr:uid="{00000000-0002-0000-0000-000010000000}">
          <x14:formula1>
            <xm:f>'-'!$A$43:$A$44</xm:f>
          </x14:formula1>
          <xm:sqref>B9:B12</xm:sqref>
        </x14:dataValidation>
        <x14:dataValidation type="list" allowBlank="1" showInputMessage="1" showErrorMessage="1" xr:uid="{00000000-0002-0000-0000-000012000000}">
          <x14:formula1>
            <xm:f>'-'!$A$25:$A$27</xm:f>
          </x14:formula1>
          <xm:sqref>B13</xm:sqref>
        </x14:dataValidation>
        <x14:dataValidation type="list" showInputMessage="1" showErrorMessage="1" xr:uid="{00000000-0002-0000-0000-000013000000}">
          <x14:formula1>
            <xm:f>'-'!$C$34:$C$37</xm:f>
          </x14:formula1>
          <xm:sqref>B15</xm:sqref>
        </x14:dataValidation>
        <x14:dataValidation type="list" showInputMessage="1" showErrorMessage="1" xr:uid="{00000000-0002-0000-0000-000014000000}">
          <x14:formula1>
            <xm:f>'-'!$A$38:$A$40</xm:f>
          </x14:formula1>
          <xm:sqref>B16</xm:sqref>
        </x14:dataValidation>
        <x14:dataValidation type="list" showInputMessage="1" showErrorMessage="1" xr:uid="{00000000-0002-0000-0000-000016000000}">
          <x14:formula1>
            <xm:f>'-'!$A$1:$A$13</xm:f>
          </x14:formula1>
          <xm:sqref>B14</xm:sqref>
        </x14:dataValidation>
        <x14:dataValidation type="list" showInputMessage="1" showErrorMessage="1" xr:uid="{71356AA2-471B-4B13-A62D-FD218CAD3013}">
          <x14:formula1>
            <xm:f>'-'!$C$42:$C$44</xm:f>
          </x14:formula1>
          <xm:sqref>B22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BBEC9-44D9-4EFF-BC14-6F02D53EAC16}">
  <sheetPr codeName="Feuil5"/>
  <dimension ref="A1:S69"/>
  <sheetViews>
    <sheetView workbookViewId="0">
      <selection activeCell="J4" sqref="J4"/>
    </sheetView>
  </sheetViews>
  <sheetFormatPr baseColWidth="10" defaultRowHeight="15"/>
  <cols>
    <col min="1" max="2" width="12.7109375" bestFit="1" customWidth="1"/>
  </cols>
  <sheetData>
    <row r="1" spans="1:19" ht="15.75">
      <c r="A1" s="46"/>
      <c r="B1" s="47" t="s">
        <v>217</v>
      </c>
      <c r="C1" s="5"/>
      <c r="D1" s="48"/>
      <c r="E1" s="48"/>
      <c r="F1" s="49"/>
      <c r="G1" s="49"/>
      <c r="H1" s="49"/>
      <c r="I1" s="49"/>
      <c r="J1" s="49"/>
      <c r="K1" s="48"/>
      <c r="L1" s="50"/>
      <c r="M1" s="50"/>
      <c r="N1" s="50"/>
      <c r="O1" s="50"/>
      <c r="P1" s="50"/>
      <c r="Q1" s="50"/>
      <c r="R1" s="50"/>
    </row>
    <row r="2" spans="1:19" ht="63">
      <c r="A2" s="51" t="s">
        <v>218</v>
      </c>
      <c r="B2" s="51" t="s">
        <v>219</v>
      </c>
      <c r="C2" s="51" t="s">
        <v>220</v>
      </c>
      <c r="D2" s="51" t="s">
        <v>221</v>
      </c>
      <c r="E2" s="51" t="s">
        <v>222</v>
      </c>
      <c r="F2" s="52" t="s">
        <v>223</v>
      </c>
      <c r="G2" s="52" t="s">
        <v>224</v>
      </c>
      <c r="H2" s="52" t="s">
        <v>225</v>
      </c>
      <c r="I2" s="52" t="s">
        <v>226</v>
      </c>
      <c r="J2" s="52" t="s">
        <v>227</v>
      </c>
      <c r="K2" s="53"/>
      <c r="L2" s="54"/>
      <c r="M2" s="54"/>
      <c r="N2" s="54"/>
      <c r="O2" s="54"/>
      <c r="P2" s="54"/>
      <c r="Q2" s="54"/>
      <c r="R2" s="54"/>
    </row>
    <row r="3" spans="1:19" ht="15.75">
      <c r="A3" s="55"/>
      <c r="B3" s="55"/>
      <c r="C3" s="56">
        <f>B3-A3</f>
        <v>0</v>
      </c>
      <c r="D3" s="57">
        <f>IF(O68&gt;0,O68,(C3/30.42))</f>
        <v>0</v>
      </c>
      <c r="E3" s="57">
        <f>ROUND(C3/7,2)</f>
        <v>0</v>
      </c>
      <c r="F3" s="58"/>
      <c r="G3" s="56" t="e">
        <f>F3*(151.6670081967/F3)*D3</f>
        <v>#DIV/0!</v>
      </c>
      <c r="H3" s="59" t="e">
        <f>IF(G3*0.15&lt;150,150,ROUNDUP(G3*0.15*1.0044,0))</f>
        <v>#DIV/0!</v>
      </c>
      <c r="I3" s="59" t="e">
        <f>IF(G3*0.25&lt;150,150,ROUNDDOWN(G3*0.25*1.0045,0))</f>
        <v>#DIV/0!</v>
      </c>
      <c r="J3" s="59" t="e">
        <f>IF(G3*0.5&lt;150,150,ROUNDDOWN(G3*0.5*1.0045,0))</f>
        <v>#DIV/0!</v>
      </c>
      <c r="K3" s="60"/>
      <c r="L3" s="61"/>
      <c r="M3" s="61"/>
      <c r="N3" s="61"/>
      <c r="O3" s="61"/>
      <c r="P3" s="61"/>
      <c r="Q3" s="61"/>
      <c r="R3" s="61"/>
    </row>
    <row r="4" spans="1:19" ht="18.75">
      <c r="A4" s="62"/>
      <c r="B4" s="63"/>
      <c r="C4" s="64"/>
      <c r="D4" s="63" t="str">
        <f>IF(D3&gt;36," !!Max 36 mois","")</f>
        <v/>
      </c>
      <c r="E4" s="62"/>
      <c r="F4" s="65" t="str">
        <f>IF(AND(F3&lt;24,F3&gt;0), "!! Mini 24h","")</f>
        <v/>
      </c>
      <c r="G4" s="66"/>
      <c r="H4" s="66"/>
      <c r="I4" s="66"/>
      <c r="J4" s="62"/>
      <c r="K4" s="62"/>
      <c r="L4" s="5"/>
      <c r="M4" s="5"/>
      <c r="N4" s="5"/>
      <c r="O4" s="5"/>
      <c r="P4" s="5"/>
      <c r="Q4" s="5"/>
      <c r="R4" s="5"/>
    </row>
    <row r="5" spans="1:19" ht="15.75">
      <c r="A5" s="67" t="s">
        <v>228</v>
      </c>
      <c r="B5" s="67"/>
      <c r="C5" s="67"/>
      <c r="D5" s="67"/>
      <c r="E5" s="67"/>
      <c r="F5" s="68"/>
      <c r="G5" s="68"/>
      <c r="H5" s="68"/>
      <c r="I5" s="68"/>
      <c r="J5" s="68"/>
      <c r="K5" s="69"/>
      <c r="L5" s="70"/>
      <c r="M5" s="71">
        <f>B3-A3</f>
        <v>0</v>
      </c>
      <c r="N5" s="71"/>
      <c r="O5" s="71"/>
      <c r="P5" s="5"/>
      <c r="Q5" s="5"/>
      <c r="R5" s="5"/>
    </row>
    <row r="6" spans="1:19" ht="15.75">
      <c r="A6" s="67"/>
      <c r="B6" s="67"/>
      <c r="C6" s="67"/>
      <c r="D6" s="67"/>
      <c r="E6" s="67"/>
      <c r="F6" s="68"/>
      <c r="G6" s="68"/>
      <c r="H6" s="68"/>
      <c r="I6" s="72"/>
      <c r="J6" s="68"/>
      <c r="K6" s="69"/>
      <c r="L6" s="70"/>
      <c r="M6" s="71"/>
      <c r="N6" s="71"/>
      <c r="O6" s="71"/>
      <c r="P6" s="5"/>
      <c r="Q6" s="5"/>
      <c r="R6" s="5">
        <v>1</v>
      </c>
      <c r="S6">
        <v>38</v>
      </c>
    </row>
    <row r="7" spans="1:19" ht="15.75">
      <c r="A7" s="68" t="s">
        <v>229</v>
      </c>
      <c r="B7" s="67"/>
      <c r="C7" s="67"/>
      <c r="D7" s="67"/>
      <c r="E7" s="67"/>
      <c r="F7" s="68"/>
      <c r="G7" s="68"/>
      <c r="H7" s="68"/>
      <c r="I7" s="68"/>
      <c r="J7" s="68"/>
      <c r="K7" s="69"/>
      <c r="L7" s="70"/>
      <c r="M7" s="73">
        <v>180</v>
      </c>
      <c r="N7" s="73"/>
      <c r="O7" s="73">
        <f>IF(M5=M7,6,0)</f>
        <v>0</v>
      </c>
      <c r="P7" s="50"/>
      <c r="Q7" s="50"/>
      <c r="R7" s="50"/>
    </row>
    <row r="8" spans="1:19" ht="15.75">
      <c r="A8" s="68"/>
      <c r="B8" s="67"/>
      <c r="C8" s="67"/>
      <c r="D8" s="67"/>
      <c r="E8" s="67"/>
      <c r="F8" s="68"/>
      <c r="G8" s="68"/>
      <c r="H8" s="68"/>
      <c r="I8" s="68"/>
      <c r="J8" s="68"/>
      <c r="K8" s="69"/>
      <c r="L8" s="70"/>
      <c r="M8" s="73">
        <v>210</v>
      </c>
      <c r="N8" s="73"/>
      <c r="O8" s="73">
        <f>IF(M5=M8,7,0)</f>
        <v>0</v>
      </c>
      <c r="P8" s="50"/>
      <c r="Q8" s="50"/>
      <c r="R8" s="50"/>
    </row>
    <row r="9" spans="1:19" ht="15.75">
      <c r="A9" s="68" t="s">
        <v>230</v>
      </c>
      <c r="B9" s="67"/>
      <c r="C9" s="67"/>
      <c r="D9" s="67"/>
      <c r="E9" s="67"/>
      <c r="F9" s="68"/>
      <c r="G9" s="68"/>
      <c r="H9" s="68"/>
      <c r="I9" s="68"/>
      <c r="J9" s="68"/>
      <c r="K9" s="69"/>
      <c r="M9" s="73">
        <v>242</v>
      </c>
      <c r="N9" s="73"/>
      <c r="O9" s="73">
        <f>IF(M5=M9,8,0)</f>
        <v>0</v>
      </c>
      <c r="P9" s="50"/>
      <c r="Q9" s="50"/>
      <c r="R9" s="50"/>
    </row>
    <row r="10" spans="1:19" ht="15.75">
      <c r="A10" s="68"/>
      <c r="B10" s="67"/>
      <c r="C10" s="67"/>
      <c r="D10" s="67"/>
      <c r="E10" s="67"/>
      <c r="F10" s="68"/>
      <c r="G10" s="68"/>
      <c r="H10" s="68"/>
      <c r="I10" s="68"/>
      <c r="J10" s="68"/>
      <c r="K10" s="69"/>
      <c r="L10" s="70"/>
      <c r="M10" s="73">
        <v>272</v>
      </c>
      <c r="N10" s="73"/>
      <c r="O10" s="73">
        <f>IF(M5=M10,9,0)</f>
        <v>0</v>
      </c>
      <c r="P10" s="50"/>
      <c r="Q10" s="50"/>
      <c r="R10" s="50"/>
    </row>
    <row r="11" spans="1:19" ht="15.75">
      <c r="A11" s="67" t="s">
        <v>231</v>
      </c>
      <c r="B11" s="67"/>
      <c r="C11" s="67"/>
      <c r="D11" s="67"/>
      <c r="E11" s="67"/>
      <c r="F11" s="68"/>
      <c r="G11" s="68"/>
      <c r="H11" s="68"/>
      <c r="I11" s="68"/>
      <c r="J11" s="67"/>
      <c r="K11" s="69"/>
      <c r="L11" s="70"/>
      <c r="M11" s="73">
        <v>303</v>
      </c>
      <c r="N11" s="73"/>
      <c r="O11" s="73">
        <f>IF(M5=M11,10,0)</f>
        <v>0</v>
      </c>
      <c r="P11" s="50"/>
      <c r="Q11" s="50"/>
      <c r="R11" s="50"/>
    </row>
    <row r="12" spans="1:19" ht="15.75">
      <c r="A12" s="67"/>
      <c r="B12" s="67"/>
      <c r="C12" s="67"/>
      <c r="D12" s="67"/>
      <c r="E12" s="67"/>
      <c r="F12" s="68"/>
      <c r="G12" s="68"/>
      <c r="H12" s="68"/>
      <c r="I12" s="68"/>
      <c r="J12" s="67"/>
      <c r="K12" s="69"/>
      <c r="L12" s="70"/>
      <c r="M12" s="73">
        <v>333</v>
      </c>
      <c r="N12" s="73"/>
      <c r="O12" s="73">
        <f>IF(M5=M12,11,0)</f>
        <v>0</v>
      </c>
      <c r="P12" s="50"/>
      <c r="Q12" s="50"/>
      <c r="R12" s="50"/>
    </row>
    <row r="13" spans="1:19" ht="15.75">
      <c r="A13" s="67" t="s">
        <v>232</v>
      </c>
      <c r="B13" s="67"/>
      <c r="C13" s="67"/>
      <c r="D13" s="67"/>
      <c r="E13" s="67"/>
      <c r="F13" s="68"/>
      <c r="G13" s="68"/>
      <c r="H13" s="74"/>
      <c r="I13" s="68"/>
      <c r="J13" s="67"/>
      <c r="K13" s="69"/>
      <c r="L13" s="70"/>
      <c r="M13" s="73">
        <v>364</v>
      </c>
      <c r="N13" s="73"/>
      <c r="O13" s="73">
        <f>IF(M5=M13,12,0)</f>
        <v>0</v>
      </c>
      <c r="P13" s="50"/>
      <c r="Q13" s="50"/>
      <c r="R13" s="50"/>
    </row>
    <row r="14" spans="1:19" ht="15.75">
      <c r="A14" s="62"/>
      <c r="B14" s="62"/>
      <c r="C14" s="62"/>
      <c r="D14" s="62"/>
      <c r="E14" s="62"/>
      <c r="F14" s="66"/>
      <c r="G14" s="66"/>
      <c r="H14" s="75"/>
      <c r="I14" s="66"/>
      <c r="J14" s="62"/>
      <c r="K14" s="62"/>
      <c r="L14" s="5"/>
      <c r="M14" s="73">
        <v>395</v>
      </c>
      <c r="N14" s="73"/>
      <c r="O14" s="73">
        <f>IF(M5=M14,13,0)</f>
        <v>0</v>
      </c>
      <c r="P14" s="5"/>
      <c r="Q14" s="5"/>
      <c r="R14" s="5"/>
    </row>
    <row r="15" spans="1:19" ht="15.75">
      <c r="A15" s="76" t="s">
        <v>233</v>
      </c>
      <c r="B15" s="76"/>
      <c r="C15" s="77"/>
      <c r="D15" s="78"/>
      <c r="E15" s="78"/>
      <c r="F15" s="78"/>
      <c r="G15" s="78"/>
      <c r="H15" s="78"/>
      <c r="I15" s="78"/>
      <c r="J15" s="78"/>
      <c r="K15" s="48"/>
      <c r="L15" s="50"/>
      <c r="M15" s="73">
        <v>424</v>
      </c>
      <c r="N15" s="73"/>
      <c r="O15" s="73">
        <f>IF(M5=M15,14,0)</f>
        <v>0</v>
      </c>
      <c r="P15" s="50"/>
      <c r="Q15" s="50"/>
      <c r="R15" s="50"/>
    </row>
    <row r="16" spans="1:19" ht="63">
      <c r="A16" s="51" t="s">
        <v>234</v>
      </c>
      <c r="B16" s="51" t="s">
        <v>235</v>
      </c>
      <c r="C16" s="51" t="s">
        <v>236</v>
      </c>
      <c r="D16" s="70"/>
      <c r="E16" s="48"/>
      <c r="F16" s="48"/>
      <c r="G16" s="48"/>
      <c r="H16" s="48"/>
      <c r="I16" s="48"/>
      <c r="J16" s="48"/>
      <c r="K16" s="48"/>
      <c r="L16" s="50"/>
      <c r="M16" s="73">
        <v>455</v>
      </c>
      <c r="N16" s="73"/>
      <c r="O16" s="73">
        <f>IF(M5=M16,15,0)</f>
        <v>0</v>
      </c>
      <c r="P16" s="50"/>
      <c r="Q16" s="50"/>
      <c r="R16" s="50"/>
    </row>
    <row r="17" spans="1:18" ht="15.75">
      <c r="A17" s="79"/>
      <c r="B17" s="80"/>
      <c r="C17" s="56">
        <f>IF(((A17*151.67)*B17)/100&lt;150,150,(((A17*151.67)*B17)/100))</f>
        <v>150</v>
      </c>
      <c r="D17" s="48"/>
      <c r="E17" s="48"/>
      <c r="F17" s="48"/>
      <c r="G17" s="48"/>
      <c r="H17" s="48"/>
      <c r="I17" s="48"/>
      <c r="J17" s="48"/>
      <c r="K17" s="48"/>
      <c r="L17" s="50"/>
      <c r="M17" s="73">
        <v>485</v>
      </c>
      <c r="N17" s="73"/>
      <c r="O17" s="73">
        <f>IF(M5=M17,16,0)</f>
        <v>0</v>
      </c>
      <c r="P17" s="50"/>
      <c r="Q17" s="50"/>
      <c r="R17" s="50"/>
    </row>
    <row r="18" spans="1:18" ht="15.75">
      <c r="A18" s="62"/>
      <c r="B18" s="62"/>
      <c r="C18" s="62"/>
      <c r="D18" s="62"/>
      <c r="E18" s="62"/>
      <c r="F18" s="66"/>
      <c r="G18" s="66"/>
      <c r="H18" s="66"/>
      <c r="I18" s="66"/>
      <c r="J18" s="62"/>
      <c r="K18" s="62"/>
      <c r="L18" s="5"/>
      <c r="M18" s="73">
        <v>516</v>
      </c>
      <c r="N18" s="73"/>
      <c r="O18" s="73">
        <f>IF(M5=M18,17,0)</f>
        <v>0</v>
      </c>
      <c r="P18" s="5"/>
      <c r="Q18" s="5"/>
      <c r="R18" s="5"/>
    </row>
    <row r="19" spans="1:18" ht="15.75">
      <c r="A19" s="81" t="s">
        <v>237</v>
      </c>
      <c r="B19" s="81"/>
      <c r="C19" s="82"/>
      <c r="D19" s="48"/>
      <c r="E19" s="48"/>
      <c r="F19" s="48"/>
      <c r="G19" s="48"/>
      <c r="H19" s="48"/>
      <c r="I19" s="48"/>
      <c r="J19" s="48"/>
      <c r="K19" s="48"/>
      <c r="L19" s="50"/>
      <c r="M19" s="73">
        <v>546</v>
      </c>
      <c r="N19" s="73"/>
      <c r="O19" s="73">
        <f>IF(M5=M19,18,0)</f>
        <v>0</v>
      </c>
      <c r="P19" s="50"/>
      <c r="Q19" s="50"/>
      <c r="R19" s="50"/>
    </row>
    <row r="20" spans="1:18" ht="63">
      <c r="A20" s="51" t="s">
        <v>238</v>
      </c>
      <c r="B20" s="51" t="s">
        <v>235</v>
      </c>
      <c r="C20" s="51" t="s">
        <v>239</v>
      </c>
      <c r="D20" s="48"/>
      <c r="E20" s="48"/>
      <c r="F20" s="48"/>
      <c r="G20" s="48"/>
      <c r="H20" s="48"/>
      <c r="I20" s="48"/>
      <c r="J20" s="48"/>
      <c r="K20" s="48"/>
      <c r="L20" s="50"/>
      <c r="M20" s="73">
        <v>577</v>
      </c>
      <c r="N20" s="73"/>
      <c r="O20" s="73">
        <f>IF(M5=M20,19,0)</f>
        <v>0</v>
      </c>
      <c r="P20" s="50"/>
      <c r="Q20" s="50"/>
      <c r="R20" s="50"/>
    </row>
    <row r="21" spans="1:18" ht="15.75">
      <c r="A21" s="79">
        <v>400</v>
      </c>
      <c r="B21" s="80">
        <v>25</v>
      </c>
      <c r="C21" s="83">
        <f>((A21/(B21/100))/151.67)</f>
        <v>10.549218698490144</v>
      </c>
      <c r="D21" s="48"/>
      <c r="E21" s="48"/>
      <c r="F21" s="48"/>
      <c r="G21" s="48"/>
      <c r="H21" s="48"/>
      <c r="I21" s="48"/>
      <c r="J21" s="48"/>
      <c r="K21" s="48"/>
      <c r="L21" s="50"/>
      <c r="M21" s="73">
        <v>607</v>
      </c>
      <c r="N21" s="73"/>
      <c r="O21" s="73">
        <f>IF(M5=M21,20,0)</f>
        <v>0</v>
      </c>
      <c r="P21" s="50"/>
      <c r="Q21" s="50"/>
      <c r="R21" s="50"/>
    </row>
    <row r="22" spans="1:18" ht="15.75">
      <c r="A22" s="62"/>
      <c r="B22" s="62"/>
      <c r="C22" s="62"/>
      <c r="D22" s="62"/>
      <c r="E22" s="62"/>
      <c r="F22" s="66"/>
      <c r="G22" s="66"/>
      <c r="H22" s="66"/>
      <c r="I22" s="66"/>
      <c r="J22" s="62"/>
      <c r="K22" s="62"/>
      <c r="L22" s="5"/>
      <c r="M22" s="73">
        <v>638</v>
      </c>
      <c r="N22" s="73"/>
      <c r="O22" s="73">
        <f>IF(M5=M22,21,0)</f>
        <v>0</v>
      </c>
      <c r="P22" s="5"/>
      <c r="Q22" s="5"/>
      <c r="R22" s="5"/>
    </row>
    <row r="23" spans="1:18">
      <c r="A23" s="5"/>
      <c r="B23" s="5"/>
      <c r="C23" s="5"/>
      <c r="D23" s="5"/>
      <c r="E23" s="5"/>
      <c r="F23" s="84"/>
      <c r="G23" s="84"/>
      <c r="H23" s="84"/>
      <c r="I23" s="84"/>
      <c r="J23" s="5"/>
      <c r="M23" s="85">
        <v>669</v>
      </c>
      <c r="N23" s="85"/>
      <c r="O23" s="85">
        <f>IF(M5=M23,22,0)</f>
        <v>0</v>
      </c>
      <c r="Q23" s="5"/>
      <c r="R23" s="5"/>
    </row>
    <row r="24" spans="1:18">
      <c r="F24" s="86"/>
      <c r="G24" s="86"/>
      <c r="H24" s="86"/>
      <c r="I24" s="86"/>
      <c r="M24" s="85">
        <v>699</v>
      </c>
      <c r="N24" s="85"/>
      <c r="O24" s="85">
        <f>IF(M5=M24,23,0)</f>
        <v>0</v>
      </c>
    </row>
    <row r="25" spans="1:18">
      <c r="F25" s="86"/>
      <c r="G25" s="86"/>
      <c r="H25" s="86"/>
      <c r="I25" s="86"/>
      <c r="M25" s="85">
        <v>730</v>
      </c>
      <c r="N25" s="85"/>
      <c r="O25" s="85">
        <f>IF(M5=M25,24,0)</f>
        <v>0</v>
      </c>
    </row>
    <row r="26" spans="1:18">
      <c r="F26" s="86"/>
      <c r="G26" s="86"/>
      <c r="H26" s="86"/>
      <c r="I26" s="86"/>
      <c r="M26" s="85">
        <v>760</v>
      </c>
      <c r="N26" s="85"/>
      <c r="O26" s="85">
        <f>IF(M5=M26,25,0)</f>
        <v>0</v>
      </c>
    </row>
    <row r="27" spans="1:18">
      <c r="F27" s="86"/>
      <c r="G27" s="86"/>
      <c r="H27" s="86"/>
      <c r="I27" s="86"/>
      <c r="M27" s="85">
        <v>789</v>
      </c>
      <c r="N27" s="85"/>
      <c r="O27" s="85">
        <f>IF(M5=M27,26,0)</f>
        <v>0</v>
      </c>
    </row>
    <row r="28" spans="1:18">
      <c r="F28" s="86"/>
      <c r="G28" s="86"/>
      <c r="H28" s="86"/>
      <c r="I28" s="86"/>
      <c r="M28" s="85">
        <v>820</v>
      </c>
      <c r="N28" s="85"/>
      <c r="O28" s="85">
        <f>IF(M5=M28,27,0)</f>
        <v>0</v>
      </c>
    </row>
    <row r="29" spans="1:18">
      <c r="F29" s="86"/>
      <c r="G29" s="86"/>
      <c r="H29" s="86"/>
      <c r="I29" s="86"/>
      <c r="M29" s="85">
        <v>850</v>
      </c>
      <c r="N29" s="85"/>
      <c r="O29" s="85">
        <f>IF(M5=M29,28,0)</f>
        <v>0</v>
      </c>
    </row>
    <row r="30" spans="1:18">
      <c r="F30" s="86"/>
      <c r="G30" s="86"/>
      <c r="H30" s="86"/>
      <c r="I30" s="86"/>
      <c r="M30" s="85">
        <v>881</v>
      </c>
      <c r="N30" s="85"/>
      <c r="O30" s="85">
        <f>IF(M5=M30,29,0)</f>
        <v>0</v>
      </c>
    </row>
    <row r="31" spans="1:18">
      <c r="F31" s="86"/>
      <c r="G31" s="86"/>
      <c r="H31" s="86"/>
      <c r="I31" s="86"/>
      <c r="M31" s="85">
        <v>911</v>
      </c>
      <c r="N31" s="85"/>
      <c r="O31" s="85">
        <f>IF(M5=M31,30,0)</f>
        <v>0</v>
      </c>
    </row>
    <row r="32" spans="1:18">
      <c r="F32" s="86"/>
      <c r="G32" s="86"/>
      <c r="H32" s="86"/>
      <c r="I32" s="86"/>
      <c r="M32" s="85">
        <v>942</v>
      </c>
      <c r="N32" s="85"/>
      <c r="O32" s="85">
        <f>IF(M5=M32,31,0)</f>
        <v>0</v>
      </c>
    </row>
    <row r="33" spans="6:15">
      <c r="F33" s="86"/>
      <c r="G33" s="86"/>
      <c r="H33" s="86"/>
      <c r="I33" s="86"/>
      <c r="M33" s="85">
        <v>972</v>
      </c>
      <c r="N33" s="85"/>
      <c r="O33" s="85">
        <f>IF(M5=M33,32,0)</f>
        <v>0</v>
      </c>
    </row>
    <row r="34" spans="6:15">
      <c r="F34" s="86"/>
      <c r="G34" s="86"/>
      <c r="H34" s="86"/>
      <c r="I34" s="86"/>
      <c r="M34" s="85">
        <v>1003</v>
      </c>
      <c r="N34" s="85"/>
      <c r="O34" s="85">
        <f>IF(M5=M34,33,0)</f>
        <v>0</v>
      </c>
    </row>
    <row r="35" spans="6:15">
      <c r="F35" s="86"/>
      <c r="G35" s="86"/>
      <c r="H35" s="86"/>
      <c r="I35" s="86"/>
      <c r="M35" s="85">
        <v>1034</v>
      </c>
      <c r="N35" s="85"/>
      <c r="O35" s="85">
        <f>IF(M5=M35,34,0)</f>
        <v>0</v>
      </c>
    </row>
    <row r="36" spans="6:15">
      <c r="F36" s="86"/>
      <c r="G36" s="86"/>
      <c r="H36" s="86"/>
      <c r="I36" s="86"/>
      <c r="M36" s="85">
        <v>1064</v>
      </c>
      <c r="N36" s="85"/>
      <c r="O36" s="85">
        <f>IF(M5=M36,35,0)</f>
        <v>0</v>
      </c>
    </row>
    <row r="37" spans="6:15">
      <c r="F37" s="86"/>
      <c r="G37" s="86"/>
      <c r="H37" s="86"/>
      <c r="I37" s="86"/>
      <c r="M37" s="85">
        <v>1095</v>
      </c>
      <c r="N37" s="85"/>
      <c r="O37" s="85">
        <f>IF(M5=M37,36,0)</f>
        <v>0</v>
      </c>
    </row>
    <row r="38" spans="6:15">
      <c r="F38" s="86"/>
      <c r="G38" s="86"/>
      <c r="H38" s="86"/>
      <c r="I38" s="86"/>
      <c r="M38" s="87">
        <f t="shared" ref="M38:M67" si="0">M8-1</f>
        <v>209</v>
      </c>
      <c r="N38" s="87"/>
      <c r="O38" s="85">
        <f>IF(M5=M38,7,0)</f>
        <v>0</v>
      </c>
    </row>
    <row r="39" spans="6:15">
      <c r="F39" s="86"/>
      <c r="G39" s="86"/>
      <c r="H39" s="86"/>
      <c r="I39" s="86"/>
      <c r="M39" s="87">
        <f t="shared" si="0"/>
        <v>241</v>
      </c>
      <c r="N39" s="87"/>
      <c r="O39" s="85">
        <f>IF(M5=M39,8,0)</f>
        <v>0</v>
      </c>
    </row>
    <row r="40" spans="6:15">
      <c r="F40" s="86"/>
      <c r="G40" s="86"/>
      <c r="H40" s="86"/>
      <c r="I40" s="86"/>
      <c r="M40" s="87">
        <f t="shared" si="0"/>
        <v>271</v>
      </c>
      <c r="N40" s="87"/>
      <c r="O40" s="85">
        <f>IF(M5=M40,9,0)</f>
        <v>0</v>
      </c>
    </row>
    <row r="41" spans="6:15">
      <c r="F41" s="86"/>
      <c r="G41" s="86"/>
      <c r="H41" s="86"/>
      <c r="I41" s="86"/>
      <c r="M41" s="87">
        <f t="shared" si="0"/>
        <v>302</v>
      </c>
      <c r="N41" s="87"/>
      <c r="O41" s="85">
        <f>IF(M5=M41,10,0)</f>
        <v>0</v>
      </c>
    </row>
    <row r="42" spans="6:15">
      <c r="F42" s="86"/>
      <c r="G42" s="86"/>
      <c r="H42" s="86"/>
      <c r="I42" s="86"/>
      <c r="M42" s="87">
        <f t="shared" si="0"/>
        <v>332</v>
      </c>
      <c r="N42" s="87"/>
      <c r="O42" s="85">
        <f>IF(M5=M42,11,0)</f>
        <v>0</v>
      </c>
    </row>
    <row r="43" spans="6:15">
      <c r="F43" s="86"/>
      <c r="G43" s="86"/>
      <c r="H43" s="86"/>
      <c r="I43" s="86"/>
      <c r="M43" s="87">
        <f t="shared" si="0"/>
        <v>363</v>
      </c>
      <c r="N43" s="87"/>
      <c r="O43" s="85">
        <f>IF(M5=M43,12,0)</f>
        <v>0</v>
      </c>
    </row>
    <row r="44" spans="6:15">
      <c r="F44" s="86"/>
      <c r="G44" s="86"/>
      <c r="H44" s="86"/>
      <c r="I44" s="86"/>
      <c r="M44" s="87">
        <f t="shared" si="0"/>
        <v>394</v>
      </c>
      <c r="N44" s="87"/>
      <c r="O44" s="85">
        <f>IF(M5=M44,13,0)</f>
        <v>0</v>
      </c>
    </row>
    <row r="45" spans="6:15">
      <c r="F45" s="86"/>
      <c r="G45" s="86"/>
      <c r="H45" s="86"/>
      <c r="I45" s="86"/>
      <c r="M45" s="87">
        <f t="shared" si="0"/>
        <v>423</v>
      </c>
      <c r="N45" s="87"/>
      <c r="O45" s="85">
        <f>IF(M5=M45,14,0)</f>
        <v>0</v>
      </c>
    </row>
    <row r="46" spans="6:15">
      <c r="F46" s="86"/>
      <c r="G46" s="86"/>
      <c r="H46" s="86"/>
      <c r="I46" s="86"/>
      <c r="M46" s="87">
        <f t="shared" si="0"/>
        <v>454</v>
      </c>
      <c r="N46" s="87"/>
      <c r="O46" s="85">
        <f>IF(M5=M46,15,0)</f>
        <v>0</v>
      </c>
    </row>
    <row r="47" spans="6:15">
      <c r="F47" s="86"/>
      <c r="G47" s="86"/>
      <c r="H47" s="86"/>
      <c r="I47" s="86"/>
      <c r="M47" s="87">
        <f t="shared" si="0"/>
        <v>484</v>
      </c>
      <c r="N47" s="87"/>
      <c r="O47" s="85">
        <f>IF(M5=M47,16,0)</f>
        <v>0</v>
      </c>
    </row>
    <row r="48" spans="6:15">
      <c r="F48" s="86"/>
      <c r="G48" s="86"/>
      <c r="H48" s="86"/>
      <c r="I48" s="86"/>
      <c r="M48" s="87">
        <f t="shared" si="0"/>
        <v>515</v>
      </c>
      <c r="N48" s="87"/>
      <c r="O48" s="85">
        <f>IF(M5=M48,17,0)</f>
        <v>0</v>
      </c>
    </row>
    <row r="49" spans="6:15">
      <c r="F49" s="86"/>
      <c r="G49" s="86"/>
      <c r="H49" s="86"/>
      <c r="I49" s="86"/>
      <c r="M49" s="87">
        <f t="shared" si="0"/>
        <v>545</v>
      </c>
      <c r="N49" s="87"/>
      <c r="O49" s="85">
        <f>IF(M5=M49,18,0)</f>
        <v>0</v>
      </c>
    </row>
    <row r="50" spans="6:15">
      <c r="F50" s="86"/>
      <c r="G50" s="86"/>
      <c r="H50" s="86"/>
      <c r="I50" s="86"/>
      <c r="M50" s="87">
        <f t="shared" si="0"/>
        <v>576</v>
      </c>
      <c r="N50" s="87"/>
      <c r="O50" s="85">
        <f>IF(M5=M50,19,0)</f>
        <v>0</v>
      </c>
    </row>
    <row r="51" spans="6:15">
      <c r="F51" s="86"/>
      <c r="G51" s="86"/>
      <c r="H51" s="86"/>
      <c r="I51" s="86"/>
      <c r="M51" s="87">
        <f t="shared" si="0"/>
        <v>606</v>
      </c>
      <c r="N51" s="87"/>
      <c r="O51" s="85">
        <f>IF(M5=M51,20,0)</f>
        <v>0</v>
      </c>
    </row>
    <row r="52" spans="6:15">
      <c r="F52" s="86"/>
      <c r="G52" s="86"/>
      <c r="H52" s="86"/>
      <c r="I52" s="86"/>
      <c r="M52" s="87">
        <f t="shared" si="0"/>
        <v>637</v>
      </c>
      <c r="N52" s="87"/>
      <c r="O52" s="85">
        <f>IF(M5=M52,21,0)</f>
        <v>0</v>
      </c>
    </row>
    <row r="53" spans="6:15">
      <c r="F53" s="86"/>
      <c r="G53" s="86"/>
      <c r="H53" s="86"/>
      <c r="I53" s="86"/>
      <c r="M53" s="87">
        <f t="shared" si="0"/>
        <v>668</v>
      </c>
      <c r="N53" s="87"/>
      <c r="O53" s="85">
        <f>IF(M5=M53,22,0)</f>
        <v>0</v>
      </c>
    </row>
    <row r="54" spans="6:15">
      <c r="F54" s="86"/>
      <c r="G54" s="86"/>
      <c r="H54" s="86"/>
      <c r="I54" s="86"/>
      <c r="M54" s="87">
        <f t="shared" si="0"/>
        <v>698</v>
      </c>
      <c r="N54" s="87"/>
      <c r="O54" s="85">
        <f>IF(M5=M54,23,0)</f>
        <v>0</v>
      </c>
    </row>
    <row r="55" spans="6:15">
      <c r="F55" s="86"/>
      <c r="G55" s="86"/>
      <c r="H55" s="86"/>
      <c r="I55" s="86"/>
      <c r="M55" s="87">
        <f t="shared" si="0"/>
        <v>729</v>
      </c>
      <c r="N55" s="87"/>
      <c r="O55" s="85">
        <f>IF(M5=M55,24,0)</f>
        <v>0</v>
      </c>
    </row>
    <row r="56" spans="6:15">
      <c r="F56" s="86"/>
      <c r="G56" s="86"/>
      <c r="H56" s="86"/>
      <c r="I56" s="86"/>
      <c r="M56" s="87">
        <f t="shared" si="0"/>
        <v>759</v>
      </c>
      <c r="N56" s="87"/>
      <c r="O56" s="85">
        <f>IF(M5=M56,25,0)</f>
        <v>0</v>
      </c>
    </row>
    <row r="57" spans="6:15">
      <c r="F57" s="86"/>
      <c r="G57" s="86"/>
      <c r="H57" s="86"/>
      <c r="I57" s="86"/>
      <c r="M57" s="87">
        <f t="shared" si="0"/>
        <v>788</v>
      </c>
      <c r="N57" s="87"/>
      <c r="O57" s="85">
        <f>IF(M5=M57,26,0)</f>
        <v>0</v>
      </c>
    </row>
    <row r="58" spans="6:15">
      <c r="F58" s="86"/>
      <c r="G58" s="86"/>
      <c r="H58" s="86"/>
      <c r="I58" s="86"/>
      <c r="M58" s="87">
        <f t="shared" si="0"/>
        <v>819</v>
      </c>
      <c r="N58" s="87"/>
      <c r="O58" s="85">
        <f>IF(M5=M58,27,0)</f>
        <v>0</v>
      </c>
    </row>
    <row r="59" spans="6:15">
      <c r="F59" s="86"/>
      <c r="G59" s="86"/>
      <c r="H59" s="86"/>
      <c r="I59" s="86"/>
      <c r="M59" s="87">
        <f t="shared" si="0"/>
        <v>849</v>
      </c>
      <c r="N59" s="87"/>
      <c r="O59" s="85">
        <f>IF(M5=M59,28,0)</f>
        <v>0</v>
      </c>
    </row>
    <row r="60" spans="6:15">
      <c r="F60" s="86"/>
      <c r="G60" s="86"/>
      <c r="H60" s="86"/>
      <c r="I60" s="86"/>
      <c r="J60" s="86"/>
      <c r="M60" s="87">
        <f t="shared" si="0"/>
        <v>880</v>
      </c>
      <c r="N60" s="87"/>
      <c r="O60" s="85">
        <f>IF(M5=M60,29,0)</f>
        <v>0</v>
      </c>
    </row>
    <row r="61" spans="6:15">
      <c r="F61" s="86"/>
      <c r="G61" s="86"/>
      <c r="H61" s="86"/>
      <c r="I61" s="86"/>
      <c r="J61" s="86"/>
      <c r="M61" s="87">
        <f t="shared" si="0"/>
        <v>910</v>
      </c>
      <c r="N61" s="87"/>
      <c r="O61" s="85">
        <f>IF(M5=M61,30,0)</f>
        <v>0</v>
      </c>
    </row>
    <row r="62" spans="6:15">
      <c r="F62" s="86"/>
      <c r="G62" s="86"/>
      <c r="H62" s="86"/>
      <c r="I62" s="86"/>
      <c r="J62" s="86"/>
      <c r="M62" s="87">
        <f t="shared" si="0"/>
        <v>941</v>
      </c>
      <c r="N62" s="87"/>
      <c r="O62" s="85">
        <f>IF(M5=M62,31,0)</f>
        <v>0</v>
      </c>
    </row>
    <row r="63" spans="6:15">
      <c r="F63" s="86"/>
      <c r="G63" s="86"/>
      <c r="H63" s="86"/>
      <c r="I63" s="86"/>
      <c r="J63" s="86"/>
      <c r="M63" s="87">
        <f t="shared" si="0"/>
        <v>971</v>
      </c>
      <c r="N63" s="87"/>
      <c r="O63" s="85">
        <f>IF(M5=M63,32,0)</f>
        <v>0</v>
      </c>
    </row>
    <row r="64" spans="6:15">
      <c r="F64" s="86"/>
      <c r="G64" s="86"/>
      <c r="H64" s="86"/>
      <c r="I64" s="86"/>
      <c r="J64" s="86"/>
      <c r="M64" s="87">
        <f t="shared" si="0"/>
        <v>1002</v>
      </c>
      <c r="N64" s="87"/>
      <c r="O64" s="85">
        <f>IF(M5=M64,33,0)</f>
        <v>0</v>
      </c>
    </row>
    <row r="65" spans="6:15">
      <c r="F65" s="86"/>
      <c r="G65" s="86"/>
      <c r="H65" s="86"/>
      <c r="I65" s="86"/>
      <c r="J65" s="86"/>
      <c r="M65" s="87">
        <f t="shared" si="0"/>
        <v>1033</v>
      </c>
      <c r="N65" s="87"/>
      <c r="O65" s="85">
        <f>IF(M5=M65,34,0)</f>
        <v>0</v>
      </c>
    </row>
    <row r="66" spans="6:15">
      <c r="F66" s="86"/>
      <c r="G66" s="86"/>
      <c r="H66" s="86"/>
      <c r="I66" s="86"/>
      <c r="J66" s="86"/>
      <c r="M66" s="87">
        <f t="shared" si="0"/>
        <v>1063</v>
      </c>
      <c r="N66" s="87"/>
      <c r="O66" s="85">
        <f>IF(M5=M66,35,0)</f>
        <v>0</v>
      </c>
    </row>
    <row r="67" spans="6:15">
      <c r="F67" s="86"/>
      <c r="G67" s="86"/>
      <c r="H67" s="86"/>
      <c r="I67" s="86"/>
      <c r="J67" s="86"/>
      <c r="M67" s="87">
        <f t="shared" si="0"/>
        <v>1094</v>
      </c>
      <c r="N67" s="87"/>
      <c r="O67" s="85">
        <f>IF(M5=M67,36,0)</f>
        <v>0</v>
      </c>
    </row>
    <row r="68" spans="6:15">
      <c r="F68" s="86"/>
      <c r="G68" s="86"/>
      <c r="H68" s="86"/>
      <c r="I68" s="86"/>
      <c r="J68" s="86"/>
      <c r="M68" s="87"/>
      <c r="N68" s="87"/>
      <c r="O68" s="85">
        <f>SUM(O7:O67)</f>
        <v>0</v>
      </c>
    </row>
    <row r="69" spans="6:15">
      <c r="F69" s="86"/>
      <c r="G69" s="86"/>
      <c r="H69" s="86"/>
      <c r="I69" s="86"/>
      <c r="J69" s="86"/>
      <c r="M69" s="87"/>
      <c r="N69" s="87"/>
      <c r="O69" s="85"/>
    </row>
  </sheetData>
  <protectedRanges>
    <protectedRange sqref="A3:B3 F3 A17:B17 A21:B21" name="Plage1"/>
  </protectedRanges>
  <conditionalFormatting sqref="C3">
    <cfRule type="cellIs" dxfId="7" priority="5" operator="lessThan">
      <formula>180</formula>
    </cfRule>
    <cfRule type="cellIs" dxfId="6" priority="6" operator="lessThan">
      <formula>180</formula>
    </cfRule>
    <cfRule type="cellIs" dxfId="5" priority="8" operator="lessThan">
      <formula>180</formula>
    </cfRule>
  </conditionalFormatting>
  <conditionalFormatting sqref="D3">
    <cfRule type="cellIs" dxfId="4" priority="1" operator="greaterThan">
      <formula>36</formula>
    </cfRule>
    <cfRule type="cellIs" dxfId="3" priority="2" operator="greaterThan">
      <formula>36</formula>
    </cfRule>
    <cfRule type="cellIs" dxfId="2" priority="3" operator="greaterThan">
      <formula>36</formula>
    </cfRule>
  </conditionalFormatting>
  <conditionalFormatting sqref="F3">
    <cfRule type="cellIs" dxfId="1" priority="4" operator="lessThan">
      <formula>24</formula>
    </cfRule>
    <cfRule type="cellIs" dxfId="0" priority="7" operator="lessThan">
      <formula>24</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C61"/>
  <sheetViews>
    <sheetView topLeftCell="A48" workbookViewId="0">
      <selection activeCell="G26" sqref="G26"/>
    </sheetView>
  </sheetViews>
  <sheetFormatPr baseColWidth="10" defaultRowHeight="15"/>
  <cols>
    <col min="1" max="1" width="40.28515625" customWidth="1"/>
    <col min="2" max="2" width="30.5703125" customWidth="1"/>
    <col min="3" max="3" width="38.28515625" customWidth="1"/>
  </cols>
  <sheetData>
    <row r="1" spans="1:3" ht="16.5" thickBot="1">
      <c r="A1" s="22" t="s">
        <v>76</v>
      </c>
      <c r="B1" s="22" t="s">
        <v>77</v>
      </c>
      <c r="C1" s="22" t="s">
        <v>78</v>
      </c>
    </row>
    <row r="2" spans="1:3" ht="15.75">
      <c r="A2" s="23" t="s">
        <v>79</v>
      </c>
      <c r="B2" s="26"/>
      <c r="C2" s="435" t="s">
        <v>85</v>
      </c>
    </row>
    <row r="3" spans="1:3" ht="15.75">
      <c r="A3" s="24" t="s">
        <v>80</v>
      </c>
      <c r="B3" s="27"/>
      <c r="C3" s="437"/>
    </row>
    <row r="4" spans="1:3" ht="15.75">
      <c r="A4" s="24" t="s">
        <v>81</v>
      </c>
      <c r="B4" s="27" t="s">
        <v>83</v>
      </c>
      <c r="C4" s="437"/>
    </row>
    <row r="5" spans="1:3" ht="16.5" thickBot="1">
      <c r="A5" s="25" t="s">
        <v>82</v>
      </c>
      <c r="B5" s="28" t="s">
        <v>84</v>
      </c>
      <c r="C5" s="436"/>
    </row>
    <row r="6" spans="1:3" ht="15.75">
      <c r="A6" s="23" t="s">
        <v>86</v>
      </c>
      <c r="B6" s="23" t="s">
        <v>88</v>
      </c>
      <c r="C6" s="435" t="s">
        <v>90</v>
      </c>
    </row>
    <row r="7" spans="1:3" ht="16.5" thickBot="1">
      <c r="A7" s="25" t="s">
        <v>87</v>
      </c>
      <c r="B7" s="28" t="s">
        <v>89</v>
      </c>
      <c r="C7" s="436"/>
    </row>
    <row r="8" spans="1:3" ht="31.5">
      <c r="A8" s="23" t="s">
        <v>91</v>
      </c>
      <c r="B8" s="23" t="s">
        <v>93</v>
      </c>
      <c r="C8" s="435" t="s">
        <v>95</v>
      </c>
    </row>
    <row r="9" spans="1:3" ht="16.5" thickBot="1">
      <c r="A9" s="25" t="s">
        <v>92</v>
      </c>
      <c r="B9" s="28" t="s">
        <v>94</v>
      </c>
      <c r="C9" s="436"/>
    </row>
    <row r="10" spans="1:3" ht="15.75">
      <c r="A10" s="435" t="s">
        <v>96</v>
      </c>
      <c r="B10" s="23" t="s">
        <v>97</v>
      </c>
      <c r="C10" s="438" t="s">
        <v>99</v>
      </c>
    </row>
    <row r="11" spans="1:3" ht="16.5" thickBot="1">
      <c r="A11" s="436"/>
      <c r="B11" s="28" t="s">
        <v>98</v>
      </c>
      <c r="C11" s="439"/>
    </row>
    <row r="12" spans="1:3" ht="31.5">
      <c r="A12" s="435" t="s">
        <v>100</v>
      </c>
      <c r="B12" s="23" t="s">
        <v>93</v>
      </c>
      <c r="C12" s="29" t="s">
        <v>102</v>
      </c>
    </row>
    <row r="13" spans="1:3" ht="15.75">
      <c r="A13" s="437"/>
      <c r="B13" s="30" t="s">
        <v>101</v>
      </c>
      <c r="C13" s="24" t="s">
        <v>103</v>
      </c>
    </row>
    <row r="14" spans="1:3" ht="15.75">
      <c r="A14" s="437"/>
      <c r="B14" s="31"/>
      <c r="C14" s="33" t="s">
        <v>104</v>
      </c>
    </row>
    <row r="15" spans="1:3" ht="15.75">
      <c r="A15" s="437"/>
      <c r="B15" s="31"/>
      <c r="C15" s="24" t="s">
        <v>105</v>
      </c>
    </row>
    <row r="16" spans="1:3" ht="31.5">
      <c r="A16" s="437"/>
      <c r="B16" s="31"/>
      <c r="C16" s="33" t="s">
        <v>106</v>
      </c>
    </row>
    <row r="17" spans="1:3" ht="16.5" thickBot="1">
      <c r="A17" s="436"/>
      <c r="B17" s="32"/>
      <c r="C17" s="25" t="s">
        <v>107</v>
      </c>
    </row>
    <row r="18" spans="1:3" ht="15.75">
      <c r="A18" s="435" t="s">
        <v>108</v>
      </c>
      <c r="B18" s="23" t="s">
        <v>109</v>
      </c>
      <c r="C18" s="435" t="s">
        <v>111</v>
      </c>
    </row>
    <row r="19" spans="1:3" ht="16.5" thickBot="1">
      <c r="A19" s="436"/>
      <c r="B19" s="28" t="s">
        <v>110</v>
      </c>
      <c r="C19" s="436"/>
    </row>
    <row r="20" spans="1:3" ht="15.75">
      <c r="A20" s="435" t="s">
        <v>112</v>
      </c>
      <c r="B20" s="23" t="s">
        <v>113</v>
      </c>
      <c r="C20" s="435" t="s">
        <v>115</v>
      </c>
    </row>
    <row r="21" spans="1:3" ht="16.5" thickBot="1">
      <c r="A21" s="436"/>
      <c r="B21" s="28" t="s">
        <v>114</v>
      </c>
      <c r="C21" s="436"/>
    </row>
    <row r="22" spans="1:3" ht="15.75">
      <c r="A22" s="435" t="s">
        <v>116</v>
      </c>
      <c r="B22" s="23" t="s">
        <v>117</v>
      </c>
      <c r="C22" s="435" t="s">
        <v>119</v>
      </c>
    </row>
    <row r="23" spans="1:3" ht="16.5" thickBot="1">
      <c r="A23" s="436"/>
      <c r="B23" s="28" t="s">
        <v>118</v>
      </c>
      <c r="C23" s="436"/>
    </row>
    <row r="24" spans="1:3" ht="15.75">
      <c r="A24" s="435" t="s">
        <v>120</v>
      </c>
      <c r="B24" s="23" t="s">
        <v>121</v>
      </c>
      <c r="C24" s="435" t="s">
        <v>123</v>
      </c>
    </row>
    <row r="25" spans="1:3" ht="16.5" thickBot="1">
      <c r="A25" s="436"/>
      <c r="B25" s="28" t="s">
        <v>122</v>
      </c>
      <c r="C25" s="436"/>
    </row>
    <row r="26" spans="1:3" ht="15.75">
      <c r="A26" s="23" t="s">
        <v>124</v>
      </c>
      <c r="B26" s="23" t="s">
        <v>126</v>
      </c>
      <c r="C26" s="23" t="s">
        <v>128</v>
      </c>
    </row>
    <row r="27" spans="1:3" ht="15.75">
      <c r="A27" s="24" t="s">
        <v>125</v>
      </c>
      <c r="B27" s="30" t="s">
        <v>127</v>
      </c>
      <c r="C27" s="24"/>
    </row>
    <row r="28" spans="1:3" ht="16.5" thickBot="1">
      <c r="A28" s="32"/>
      <c r="B28" s="32"/>
      <c r="C28" s="25" t="s">
        <v>129</v>
      </c>
    </row>
    <row r="29" spans="1:3" ht="15.75">
      <c r="A29" s="435" t="s">
        <v>125</v>
      </c>
      <c r="B29" s="23" t="s">
        <v>130</v>
      </c>
      <c r="C29" s="435" t="s">
        <v>129</v>
      </c>
    </row>
    <row r="30" spans="1:3" ht="16.5" thickBot="1">
      <c r="A30" s="436"/>
      <c r="B30" s="28" t="s">
        <v>131</v>
      </c>
      <c r="C30" s="436"/>
    </row>
    <row r="31" spans="1:3" ht="47.25">
      <c r="A31" s="435" t="s">
        <v>132</v>
      </c>
      <c r="B31" s="23" t="s">
        <v>133</v>
      </c>
      <c r="C31" s="23" t="s">
        <v>135</v>
      </c>
    </row>
    <row r="32" spans="1:3" ht="15.75">
      <c r="A32" s="437"/>
      <c r="B32" s="30" t="s">
        <v>134</v>
      </c>
      <c r="C32" s="24" t="s">
        <v>136</v>
      </c>
    </row>
    <row r="33" spans="1:3" ht="16.5" thickBot="1">
      <c r="A33" s="436"/>
      <c r="B33" s="32"/>
      <c r="C33" s="25" t="s">
        <v>137</v>
      </c>
    </row>
    <row r="35" spans="1:3" ht="25.5">
      <c r="A35" s="34" t="s">
        <v>138</v>
      </c>
    </row>
    <row r="36" spans="1:3">
      <c r="A36" s="35"/>
    </row>
    <row r="37" spans="1:3" ht="76.5">
      <c r="A37" s="35" t="s">
        <v>139</v>
      </c>
    </row>
    <row r="38" spans="1:3">
      <c r="A38" s="35"/>
    </row>
    <row r="39" spans="1:3">
      <c r="A39" s="36" t="s">
        <v>140</v>
      </c>
    </row>
    <row r="40" spans="1:3" ht="26.25" thickBot="1">
      <c r="A40" s="35" t="s">
        <v>141</v>
      </c>
    </row>
    <row r="41" spans="1:3" ht="15.75" thickBot="1">
      <c r="A41" s="37" t="s">
        <v>142</v>
      </c>
      <c r="B41" s="38" t="s">
        <v>143</v>
      </c>
      <c r="C41" s="38" t="s">
        <v>144</v>
      </c>
    </row>
    <row r="42" spans="1:3" ht="26.25" thickBot="1">
      <c r="A42" s="39" t="s">
        <v>145</v>
      </c>
      <c r="B42" s="40" t="s">
        <v>145</v>
      </c>
      <c r="C42" s="40" t="s">
        <v>146</v>
      </c>
    </row>
    <row r="43" spans="1:3" ht="15.75" thickBot="1">
      <c r="A43" s="39" t="s">
        <v>147</v>
      </c>
      <c r="B43" s="40" t="s">
        <v>145</v>
      </c>
      <c r="C43" s="40" t="s">
        <v>148</v>
      </c>
    </row>
    <row r="44" spans="1:3" ht="39" thickBot="1">
      <c r="A44" s="39" t="s">
        <v>145</v>
      </c>
      <c r="B44" s="40" t="s">
        <v>147</v>
      </c>
      <c r="C44" s="40" t="s">
        <v>149</v>
      </c>
    </row>
    <row r="45" spans="1:3" ht="39" thickBot="1">
      <c r="A45" s="39" t="s">
        <v>147</v>
      </c>
      <c r="B45" s="40" t="s">
        <v>150</v>
      </c>
      <c r="C45" s="40" t="s">
        <v>149</v>
      </c>
    </row>
    <row r="46" spans="1:3">
      <c r="A46" s="35"/>
    </row>
    <row r="47" spans="1:3">
      <c r="A47" s="36" t="s">
        <v>151</v>
      </c>
    </row>
    <row r="48" spans="1:3" ht="25.5">
      <c r="A48" s="35" t="s">
        <v>152</v>
      </c>
    </row>
    <row r="49" spans="1:3">
      <c r="A49" s="35"/>
    </row>
    <row r="50" spans="1:3" ht="15.75" thickBot="1">
      <c r="A50" s="35" t="s">
        <v>153</v>
      </c>
    </row>
    <row r="51" spans="1:3" ht="15.75" thickBot="1">
      <c r="A51" s="37" t="s">
        <v>142</v>
      </c>
      <c r="B51" s="38" t="s">
        <v>143</v>
      </c>
    </row>
    <row r="52" spans="1:3" ht="15.75" thickBot="1">
      <c r="A52" s="39" t="s">
        <v>108</v>
      </c>
      <c r="B52" s="40" t="s">
        <v>154</v>
      </c>
    </row>
    <row r="53" spans="1:3" ht="15.75" thickBot="1">
      <c r="A53" s="39" t="s">
        <v>155</v>
      </c>
      <c r="B53" s="40" t="s">
        <v>156</v>
      </c>
    </row>
    <row r="54" spans="1:3" ht="15.75" thickBot="1">
      <c r="A54" s="41" t="s">
        <v>157</v>
      </c>
    </row>
    <row r="55" spans="1:3" ht="15.75" thickBot="1">
      <c r="A55" s="37" t="s">
        <v>142</v>
      </c>
      <c r="B55" s="38" t="s">
        <v>143</v>
      </c>
      <c r="C55" s="38" t="s">
        <v>144</v>
      </c>
    </row>
    <row r="56" spans="1:3" ht="26.25" thickBot="1">
      <c r="A56" s="39" t="s">
        <v>145</v>
      </c>
      <c r="B56" s="40" t="s">
        <v>145</v>
      </c>
      <c r="C56" s="40" t="s">
        <v>158</v>
      </c>
    </row>
    <row r="57" spans="1:3" ht="15.75" thickBot="1">
      <c r="A57" s="39" t="s">
        <v>147</v>
      </c>
      <c r="B57" s="40" t="s">
        <v>145</v>
      </c>
      <c r="C57" s="40" t="s">
        <v>159</v>
      </c>
    </row>
    <row r="58" spans="1:3" ht="26.25" thickBot="1">
      <c r="A58" s="39" t="s">
        <v>145</v>
      </c>
      <c r="B58" s="40" t="s">
        <v>147</v>
      </c>
      <c r="C58" s="40" t="s">
        <v>160</v>
      </c>
    </row>
    <row r="59" spans="1:3" ht="26.25" thickBot="1">
      <c r="A59" s="39" t="s">
        <v>147</v>
      </c>
      <c r="B59" s="40" t="s">
        <v>150</v>
      </c>
      <c r="C59" s="40" t="s">
        <v>161</v>
      </c>
    </row>
    <row r="60" spans="1:3">
      <c r="A60" s="35"/>
    </row>
    <row r="61" spans="1:3" ht="76.5">
      <c r="A61" s="42" t="s">
        <v>162</v>
      </c>
    </row>
  </sheetData>
  <mergeCells count="17">
    <mergeCell ref="A12:A17"/>
    <mergeCell ref="C2:C5"/>
    <mergeCell ref="C6:C7"/>
    <mergeCell ref="C8:C9"/>
    <mergeCell ref="A10:A11"/>
    <mergeCell ref="C10:C11"/>
    <mergeCell ref="A18:A19"/>
    <mergeCell ref="C18:C19"/>
    <mergeCell ref="A20:A21"/>
    <mergeCell ref="C20:C21"/>
    <mergeCell ref="A22:A23"/>
    <mergeCell ref="C22:C23"/>
    <mergeCell ref="A24:A25"/>
    <mergeCell ref="C24:C25"/>
    <mergeCell ref="A29:A30"/>
    <mergeCell ref="C29:C30"/>
    <mergeCell ref="A31:A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H28"/>
  <sheetViews>
    <sheetView workbookViewId="0">
      <selection activeCell="F6" sqref="F6"/>
    </sheetView>
  </sheetViews>
  <sheetFormatPr baseColWidth="10" defaultRowHeight="15"/>
  <cols>
    <col min="1" max="2" width="35.5703125" customWidth="1"/>
    <col min="3" max="3" width="26.7109375" customWidth="1"/>
    <col min="4" max="4" width="20.28515625" customWidth="1"/>
    <col min="5" max="5" width="19.5703125" customWidth="1"/>
    <col min="6" max="6" width="15.140625" customWidth="1"/>
  </cols>
  <sheetData>
    <row r="1" spans="1:8" ht="16.5" thickTop="1" thickBot="1">
      <c r="A1" s="440" t="s">
        <v>49</v>
      </c>
      <c r="B1" s="441"/>
      <c r="F1" s="20" t="s">
        <v>65</v>
      </c>
      <c r="G1" s="21">
        <f>'Simulateur Contrat de pro'!B14</f>
        <v>0</v>
      </c>
    </row>
    <row r="2" spans="1:8" ht="16.5" thickTop="1" thickBot="1">
      <c r="A2" s="12" t="s">
        <v>50</v>
      </c>
      <c r="B2" s="11" t="s">
        <v>69</v>
      </c>
      <c r="F2" s="20" t="s">
        <v>66</v>
      </c>
      <c r="G2" s="20">
        <f>'Simulateur Contrat de pro'!B13</f>
        <v>0</v>
      </c>
    </row>
    <row r="3" spans="1:8" ht="15.75" thickBot="1">
      <c r="A3" s="13" t="s">
        <v>75</v>
      </c>
      <c r="B3" s="10">
        <f>'Simulateur Contrat de pro'!I7</f>
        <v>1801.7999999999988</v>
      </c>
      <c r="C3" s="14" t="s">
        <v>70</v>
      </c>
      <c r="D3" s="7">
        <f>B3*(F6/100)</f>
        <v>0</v>
      </c>
      <c r="F3" s="20" t="s">
        <v>67</v>
      </c>
      <c r="G3" s="20">
        <f>'Simulateur Contrat de pro'!B15</f>
        <v>0</v>
      </c>
    </row>
    <row r="4" spans="1:8" ht="15.75" thickBot="1">
      <c r="A4" s="13" t="s">
        <v>74</v>
      </c>
      <c r="B4" s="10"/>
      <c r="C4" s="14" t="s">
        <v>70</v>
      </c>
      <c r="D4" s="7"/>
    </row>
    <row r="5" spans="1:8" ht="15.75" thickBot="1">
      <c r="A5" s="9"/>
      <c r="C5" s="17" t="s">
        <v>63</v>
      </c>
      <c r="D5" s="17" t="s">
        <v>64</v>
      </c>
      <c r="E5" s="18"/>
      <c r="F5" s="8"/>
    </row>
    <row r="6" spans="1:8" ht="15.75" thickBot="1">
      <c r="A6" s="442" t="s">
        <v>52</v>
      </c>
      <c r="B6" s="443"/>
      <c r="C6" s="15">
        <f>IF(G1&lt;=25,70,IF(G1&gt;25,85))</f>
        <v>70</v>
      </c>
      <c r="D6" s="15">
        <f>IF(G1&lt;=25,80,IF(G1&gt;25,85))</f>
        <v>80</v>
      </c>
      <c r="E6" s="19" t="s">
        <v>68</v>
      </c>
      <c r="F6" s="16" t="b">
        <f>IF(G2='-'!A26,Feuil1!D6,IF(G2='-'!A27,Feuil1!C6))</f>
        <v>0</v>
      </c>
    </row>
    <row r="8" spans="1:8">
      <c r="A8" t="s">
        <v>51</v>
      </c>
    </row>
    <row r="9" spans="1:8">
      <c r="A9" s="13" t="s">
        <v>75</v>
      </c>
      <c r="B9">
        <f>'Simulateur Contrat de pro'!I7</f>
        <v>1801.7999999999988</v>
      </c>
      <c r="C9" s="13" t="s">
        <v>163</v>
      </c>
      <c r="D9" s="44">
        <f>B3*(G12/100)</f>
        <v>0</v>
      </c>
    </row>
    <row r="10" spans="1:8">
      <c r="A10" s="13" t="s">
        <v>74</v>
      </c>
      <c r="C10" s="13" t="s">
        <v>163</v>
      </c>
      <c r="D10" s="44">
        <f>B4*(G12/100)</f>
        <v>0</v>
      </c>
    </row>
    <row r="11" spans="1:8" ht="15.75" thickBot="1">
      <c r="C11" t="s">
        <v>71</v>
      </c>
      <c r="D11" t="s">
        <v>72</v>
      </c>
      <c r="E11" t="s">
        <v>73</v>
      </c>
    </row>
    <row r="12" spans="1:8" ht="15.75" thickBot="1">
      <c r="A12" t="s">
        <v>52</v>
      </c>
      <c r="C12">
        <f>IF(G1&lt;=17,25,IF(G1&lt;=20,41,IF(G1&gt;20,53)))</f>
        <v>25</v>
      </c>
      <c r="D12">
        <f>IF(G1&lt;=17,37,IF(G1&lt;=20,49,IF(G1&gt;20,61)))</f>
        <v>37</v>
      </c>
      <c r="E12">
        <f>IF(G1&lt;=17,53,IF(G1&lt;=20,65,IF(G1&gt;20,78)))</f>
        <v>53</v>
      </c>
      <c r="F12" s="43" t="s">
        <v>68</v>
      </c>
      <c r="G12" s="7" t="b">
        <f>IF(G3="1 ère",C12,IF(G3="2 ième",D12,IF(G3="3 ième",E12)))</f>
        <v>0</v>
      </c>
    </row>
    <row r="14" spans="1:8">
      <c r="C14" t="s">
        <v>58</v>
      </c>
      <c r="D14" t="s">
        <v>59</v>
      </c>
      <c r="E14" t="s">
        <v>57</v>
      </c>
      <c r="F14" t="s">
        <v>60</v>
      </c>
      <c r="G14" t="s">
        <v>61</v>
      </c>
      <c r="H14" t="s">
        <v>62</v>
      </c>
    </row>
    <row r="15" spans="1:8">
      <c r="A15" s="4" t="s">
        <v>53</v>
      </c>
      <c r="B15" s="4"/>
      <c r="C15" s="4">
        <v>70</v>
      </c>
      <c r="D15">
        <v>80</v>
      </c>
      <c r="F15">
        <v>25</v>
      </c>
      <c r="G15">
        <v>37</v>
      </c>
      <c r="H15">
        <v>53</v>
      </c>
    </row>
    <row r="16" spans="1:8">
      <c r="A16" s="4" t="s">
        <v>54</v>
      </c>
      <c r="B16" s="4"/>
      <c r="C16" s="4">
        <v>70</v>
      </c>
      <c r="D16">
        <v>80</v>
      </c>
      <c r="F16">
        <v>41</v>
      </c>
      <c r="G16">
        <v>49</v>
      </c>
      <c r="H16">
        <v>65</v>
      </c>
    </row>
    <row r="17" spans="1:8">
      <c r="A17" s="4" t="s">
        <v>55</v>
      </c>
      <c r="B17" s="4"/>
      <c r="C17" s="4">
        <v>70</v>
      </c>
      <c r="D17">
        <v>80</v>
      </c>
      <c r="F17">
        <v>53</v>
      </c>
      <c r="G17">
        <v>61</v>
      </c>
      <c r="H17">
        <v>78</v>
      </c>
    </row>
    <row r="18" spans="1:8">
      <c r="A18" s="4" t="s">
        <v>31</v>
      </c>
      <c r="B18" s="4"/>
      <c r="C18" s="4">
        <v>70</v>
      </c>
      <c r="D18">
        <v>80</v>
      </c>
      <c r="F18">
        <v>53</v>
      </c>
      <c r="G18">
        <v>61</v>
      </c>
      <c r="H18">
        <v>78</v>
      </c>
    </row>
    <row r="19" spans="1:8">
      <c r="A19" s="4" t="s">
        <v>32</v>
      </c>
      <c r="B19" s="4"/>
      <c r="C19" s="4">
        <v>70</v>
      </c>
      <c r="D19">
        <v>80</v>
      </c>
      <c r="F19">
        <v>53</v>
      </c>
      <c r="G19">
        <v>61</v>
      </c>
      <c r="H19">
        <v>78</v>
      </c>
    </row>
    <row r="20" spans="1:8">
      <c r="A20" s="4" t="s">
        <v>33</v>
      </c>
      <c r="B20" s="4"/>
      <c r="C20" s="4">
        <v>85</v>
      </c>
      <c r="D20">
        <v>85</v>
      </c>
      <c r="F20">
        <v>53</v>
      </c>
      <c r="G20">
        <v>61</v>
      </c>
      <c r="H20">
        <v>78</v>
      </c>
    </row>
    <row r="23" spans="1:8">
      <c r="A23" t="s">
        <v>56</v>
      </c>
    </row>
    <row r="24" spans="1:8">
      <c r="A24" t="s">
        <v>39</v>
      </c>
    </row>
    <row r="25" spans="1:8">
      <c r="A25" t="s">
        <v>40</v>
      </c>
    </row>
    <row r="26" spans="1:8">
      <c r="A26" t="s">
        <v>41</v>
      </c>
    </row>
    <row r="27" spans="1:8">
      <c r="A27" t="s">
        <v>42</v>
      </c>
    </row>
    <row r="28" spans="1:8">
      <c r="A28" t="s">
        <v>43</v>
      </c>
    </row>
  </sheetData>
  <mergeCells count="2">
    <mergeCell ref="A1:B1"/>
    <mergeCell ref="A6:B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I55"/>
  <sheetViews>
    <sheetView topLeftCell="A28" workbookViewId="0">
      <selection activeCell="C42" sqref="C42:C44"/>
    </sheetView>
  </sheetViews>
  <sheetFormatPr baseColWidth="10" defaultRowHeight="15"/>
  <cols>
    <col min="1" max="1" width="79.28515625" customWidth="1"/>
    <col min="3" max="3" width="40.5703125" customWidth="1"/>
  </cols>
  <sheetData>
    <row r="1" spans="1:9">
      <c r="A1" t="s">
        <v>26</v>
      </c>
    </row>
    <row r="2" spans="1:9">
      <c r="A2" s="4">
        <v>15</v>
      </c>
      <c r="I2" t="s">
        <v>10</v>
      </c>
    </row>
    <row r="3" spans="1:9">
      <c r="A3" s="4">
        <v>16</v>
      </c>
      <c r="C3" s="2"/>
      <c r="E3" t="s">
        <v>4</v>
      </c>
      <c r="I3" s="3">
        <v>12</v>
      </c>
    </row>
    <row r="4" spans="1:9">
      <c r="A4" s="4">
        <v>17</v>
      </c>
      <c r="C4" s="2"/>
      <c r="E4" t="s">
        <v>240</v>
      </c>
      <c r="I4" s="1">
        <v>60</v>
      </c>
    </row>
    <row r="5" spans="1:9">
      <c r="A5" s="4">
        <v>18</v>
      </c>
      <c r="C5" s="2"/>
      <c r="E5" t="s">
        <v>241</v>
      </c>
      <c r="I5" s="3">
        <v>10</v>
      </c>
    </row>
    <row r="6" spans="1:9">
      <c r="A6" s="4">
        <v>19</v>
      </c>
    </row>
    <row r="7" spans="1:9">
      <c r="A7" s="4">
        <v>20</v>
      </c>
    </row>
    <row r="8" spans="1:9">
      <c r="A8" s="4">
        <v>21</v>
      </c>
    </row>
    <row r="9" spans="1:9">
      <c r="A9" s="4">
        <v>22</v>
      </c>
    </row>
    <row r="10" spans="1:9">
      <c r="A10" s="4">
        <v>23</v>
      </c>
    </row>
    <row r="11" spans="1:9">
      <c r="A11" s="4">
        <v>24</v>
      </c>
    </row>
    <row r="12" spans="1:9">
      <c r="A12" s="4">
        <v>25</v>
      </c>
      <c r="C12" s="2"/>
    </row>
    <row r="13" spans="1:9">
      <c r="A13" s="45" t="s">
        <v>258</v>
      </c>
      <c r="C13" s="2"/>
    </row>
    <row r="14" spans="1:9">
      <c r="A14" s="45"/>
      <c r="C14" s="2"/>
    </row>
    <row r="15" spans="1:9">
      <c r="A15" s="4"/>
    </row>
    <row r="16" spans="1:9">
      <c r="A16" s="4"/>
    </row>
    <row r="17" spans="1:3">
      <c r="A17" s="4"/>
      <c r="C17" t="s">
        <v>12</v>
      </c>
    </row>
    <row r="18" spans="1:3">
      <c r="A18" s="45"/>
    </row>
    <row r="20" spans="1:3">
      <c r="C20" t="s">
        <v>30</v>
      </c>
    </row>
    <row r="25" spans="1:3">
      <c r="A25" t="s">
        <v>41</v>
      </c>
    </row>
    <row r="26" spans="1:3">
      <c r="A26" t="s">
        <v>42</v>
      </c>
    </row>
    <row r="27" spans="1:3">
      <c r="A27" t="s">
        <v>43</v>
      </c>
    </row>
    <row r="34" spans="1:3">
      <c r="A34" s="5"/>
      <c r="C34" t="s">
        <v>34</v>
      </c>
    </row>
    <row r="35" spans="1:3">
      <c r="A35" s="5"/>
      <c r="C35" t="s">
        <v>38</v>
      </c>
    </row>
    <row r="36" spans="1:3">
      <c r="A36" s="5"/>
      <c r="C36" t="s">
        <v>35</v>
      </c>
    </row>
    <row r="37" spans="1:3">
      <c r="A37" s="5"/>
      <c r="C37" t="s">
        <v>36</v>
      </c>
    </row>
    <row r="38" spans="1:3">
      <c r="A38" t="s">
        <v>23</v>
      </c>
    </row>
    <row r="39" spans="1:3">
      <c r="A39" t="s">
        <v>39</v>
      </c>
    </row>
    <row r="40" spans="1:3">
      <c r="A40" t="s">
        <v>40</v>
      </c>
    </row>
    <row r="42" spans="1:3">
      <c r="A42" t="s">
        <v>24</v>
      </c>
      <c r="C42" t="s">
        <v>267</v>
      </c>
    </row>
    <row r="43" spans="1:3">
      <c r="A43" t="s">
        <v>8</v>
      </c>
      <c r="C43" t="s">
        <v>265</v>
      </c>
    </row>
    <row r="44" spans="1:3">
      <c r="A44" t="s">
        <v>9</v>
      </c>
      <c r="C44" t="s">
        <v>266</v>
      </c>
    </row>
    <row r="47" spans="1:3">
      <c r="A47" s="6"/>
    </row>
    <row r="48" spans="1:3">
      <c r="A48" s="6"/>
    </row>
    <row r="49" spans="1:1">
      <c r="A49" s="6"/>
    </row>
    <row r="50" spans="1:1">
      <c r="A50" s="6"/>
    </row>
    <row r="51" spans="1:1">
      <c r="A51" s="6"/>
    </row>
    <row r="52" spans="1:1">
      <c r="A52" s="6"/>
    </row>
    <row r="53" spans="1:1">
      <c r="A53" s="6"/>
    </row>
    <row r="54" spans="1:1">
      <c r="A54" s="6"/>
    </row>
    <row r="55" spans="1:1">
      <c r="A55" s="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36F153E702044BAB1253E05A37881A" ma:contentTypeVersion="12" ma:contentTypeDescription="Crée un document." ma:contentTypeScope="" ma:versionID="425112392d919e18c30597044813d7e8">
  <xsd:schema xmlns:xsd="http://www.w3.org/2001/XMLSchema" xmlns:xs="http://www.w3.org/2001/XMLSchema" xmlns:p="http://schemas.microsoft.com/office/2006/metadata/properties" xmlns:ns2="0bc7cc1f-d03b-47f4-b4d7-7fed276a0de2" xmlns:ns3="f219ed52-ba2e-42b7-8808-6d0e8658d489" targetNamespace="http://schemas.microsoft.com/office/2006/metadata/properties" ma:root="true" ma:fieldsID="0bf1d0aa159b5a46578c6be5f21430e6" ns2:_="" ns3:_="">
    <xsd:import namespace="0bc7cc1f-d03b-47f4-b4d7-7fed276a0de2"/>
    <xsd:import namespace="f219ed52-ba2e-42b7-8808-6d0e8658d48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c7cc1f-d03b-47f4-b4d7-7fed276a0d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19ed52-ba2e-42b7-8808-6d0e8658d489"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A7242A-DDA6-4E90-9CBA-B0FADEB02182}">
  <ds:schemaRefs>
    <ds:schemaRef ds:uri="http://schemas.microsoft.com/sharepoint/v3/contenttype/forms"/>
  </ds:schemaRefs>
</ds:datastoreItem>
</file>

<file path=customXml/itemProps2.xml><?xml version="1.0" encoding="utf-8"?>
<ds:datastoreItem xmlns:ds="http://schemas.openxmlformats.org/officeDocument/2006/customXml" ds:itemID="{16C61150-EAF5-4D9D-87DD-CCB4781DF0EE}">
  <ds:schemaRefs>
    <ds:schemaRef ds:uri="http://schemas.openxmlformats.org/package/2006/metadata/core-properties"/>
    <ds:schemaRef ds:uri="f219ed52-ba2e-42b7-8808-6d0e8658d489"/>
    <ds:schemaRef ds:uri="http://schemas.microsoft.com/office/2006/documentManagement/types"/>
    <ds:schemaRef ds:uri="http://www.w3.org/XML/1998/namespace"/>
    <ds:schemaRef ds:uri="http://purl.org/dc/dcmitype/"/>
    <ds:schemaRef ds:uri="http://schemas.microsoft.com/office/infopath/2007/PartnerControls"/>
    <ds:schemaRef ds:uri="http://purl.org/dc/elements/1.1/"/>
    <ds:schemaRef ds:uri="0bc7cc1f-d03b-47f4-b4d7-7fed276a0de2"/>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2DEFC411-7512-48FD-BB19-334964C46A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c7cc1f-d03b-47f4-b4d7-7fed276a0de2"/>
    <ds:schemaRef ds:uri="f219ed52-ba2e-42b7-8808-6d0e8658d4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Simulateur Contrat de pro</vt:lpstr>
      <vt:lpstr>Calculateur de durée</vt:lpstr>
      <vt:lpstr>iNFOS</vt:lpstr>
      <vt:lpstr>Feuil1</vt:lpstr>
      <vt:lpstr>-</vt:lpstr>
      <vt:lpstr>'Simulateur Contrat de pro'!Zone_d_impression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Amélie PONSAUD</cp:lastModifiedBy>
  <cp:lastPrinted>2017-06-13T13:15:41Z</cp:lastPrinted>
  <dcterms:created xsi:type="dcterms:W3CDTF">2017-03-31T13:58:41Z</dcterms:created>
  <dcterms:modified xsi:type="dcterms:W3CDTF">2024-11-04T12:06:11Z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0x0101006136F153E702044BAB1253E05A37881A</vt:lpwstr>
  </property>
</Properties>
</file>