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codeName="ThisWorkbook"/>
  <mc:AlternateContent xmlns:mc="http://schemas.openxmlformats.org/markup-compatibility/2006">
    <mc:Choice Requires="x15">
      <x15ac:absPath xmlns:x15ac="http://schemas.microsoft.com/office/spreadsheetml/2010/11/ac" url="https://faftt-my.sharepoint.com/personal/dberbar_faftt_fr/Documents/Documents/DEV/POLE ALT/OUTILS/simulateur CPRO TT/"/>
    </mc:Choice>
  </mc:AlternateContent>
  <xr:revisionPtr revIDLastSave="253" documentId="8_{DE03DE11-E72A-4655-8A9B-C1925B20E633}" xr6:coauthVersionLast="47" xr6:coauthVersionMax="47" xr10:uidLastSave="{2A037E17-324A-4A2F-AB72-26B806BA4CC2}"/>
  <workbookProtection workbookAlgorithmName="SHA-512" workbookHashValue="HGdA/BO4XabtPA1vu/IQ1bMUBDn0h/pgUr0bkkB5p3YsXSrGQ6eVCwVeHRjigU+AmVYbYfXIxB0ZOEbMzQvHxQ==" workbookSaltValue="g8XvCNhkcG74ajcx7McHDQ==" workbookSpinCount="100000" lockStructure="1"/>
  <bookViews>
    <workbookView xWindow="-120" yWindow="-16320" windowWidth="29040" windowHeight="15720" tabRatio="643" xr2:uid="{00000000-000D-0000-FFFF-FFFF00000000}"/>
  </bookViews>
  <sheets>
    <sheet name="Simulateur Contrat de pro" sheetId="5" r:id="rId1"/>
    <sheet name="Liste" sheetId="12" r:id="rId2"/>
    <sheet name="Calculateur de durée" sheetId="8" state="hidden" r:id="rId3"/>
    <sheet name="iNFOS" sheetId="7" state="hidden" r:id="rId4"/>
    <sheet name="Feuil1" sheetId="6" state="hidden" r:id="rId5"/>
    <sheet name="-" sheetId="2" state="hidden" r:id="rId6"/>
  </sheets>
  <definedNames>
    <definedName name="listeNiveaux">#REF!</definedName>
    <definedName name="Niv">#REF!</definedName>
    <definedName name="_xlnm.Print_Area" localSheetId="0">'Simulateur Contrat de pro'!$A$2:$I$111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9" i="5" l="1"/>
  <c r="F51" i="5"/>
  <c r="I29" i="5"/>
  <c r="I28" i="5"/>
  <c r="B21" i="5"/>
  <c r="F66" i="5"/>
  <c r="B40" i="5"/>
  <c r="C13" i="5" l="1"/>
  <c r="C41" i="5" l="1"/>
  <c r="D23" i="5" l="1"/>
  <c r="I7" i="5" s="1"/>
  <c r="E7" i="5" s="1"/>
  <c r="D21" i="5" l="1"/>
  <c r="E21" i="5" l="1"/>
  <c r="C19" i="5"/>
  <c r="D40" i="5"/>
  <c r="E40" i="5" s="1"/>
  <c r="F40" i="5" s="1"/>
  <c r="C40" i="5" l="1"/>
  <c r="M67" i="8" l="1"/>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C21" i="8"/>
  <c r="C17" i="8"/>
  <c r="M5" i="8"/>
  <c r="O34" i="8" s="1"/>
  <c r="F4" i="8"/>
  <c r="C3" i="8"/>
  <c r="E3" i="8" s="1"/>
  <c r="O38" i="8" l="1"/>
  <c r="O54" i="8"/>
  <c r="O27" i="8"/>
  <c r="O46" i="8"/>
  <c r="O62" i="8"/>
  <c r="O20" i="8"/>
  <c r="O31" i="8"/>
  <c r="O44" i="8"/>
  <c r="O52" i="8"/>
  <c r="O60" i="8"/>
  <c r="O9" i="8"/>
  <c r="O35" i="8"/>
  <c r="O42" i="8"/>
  <c r="O50" i="8"/>
  <c r="O58" i="8"/>
  <c r="O66" i="8"/>
  <c r="O13" i="8"/>
  <c r="O23" i="8"/>
  <c r="O40" i="8"/>
  <c r="O48" i="8"/>
  <c r="O56" i="8"/>
  <c r="O64" i="8"/>
  <c r="O10" i="8"/>
  <c r="O14" i="8"/>
  <c r="O17" i="8"/>
  <c r="O24" i="8"/>
  <c r="O28" i="8"/>
  <c r="O32" i="8"/>
  <c r="O36" i="8"/>
  <c r="O7" i="8"/>
  <c r="O11" i="8"/>
  <c r="O15" i="8"/>
  <c r="O18" i="8"/>
  <c r="O21" i="8"/>
  <c r="O25" i="8"/>
  <c r="O29" i="8"/>
  <c r="O33" i="8"/>
  <c r="O37" i="8"/>
  <c r="O39" i="8"/>
  <c r="O41" i="8"/>
  <c r="O43" i="8"/>
  <c r="O45" i="8"/>
  <c r="O47" i="8"/>
  <c r="O49" i="8"/>
  <c r="O51" i="8"/>
  <c r="O53" i="8"/>
  <c r="O55" i="8"/>
  <c r="O57" i="8"/>
  <c r="O59" i="8"/>
  <c r="O61" i="8"/>
  <c r="O63" i="8"/>
  <c r="O65" i="8"/>
  <c r="O67" i="8"/>
  <c r="O8" i="8"/>
  <c r="O12" i="8"/>
  <c r="O16" i="8"/>
  <c r="O19" i="8"/>
  <c r="O22" i="8"/>
  <c r="O26" i="8"/>
  <c r="O30" i="8"/>
  <c r="B38" i="5"/>
  <c r="O68" i="8" l="1"/>
  <c r="D3" i="8" s="1"/>
  <c r="D24" i="5"/>
  <c r="D4" i="8" l="1"/>
  <c r="G3" i="8"/>
  <c r="G30" i="5"/>
  <c r="I3" i="8" l="1"/>
  <c r="J3" i="8"/>
  <c r="H3" i="8"/>
  <c r="B52" i="5"/>
  <c r="F52" i="5" s="1"/>
  <c r="D30" i="5" l="1"/>
  <c r="D31" i="5" s="1"/>
  <c r="E52" i="5"/>
  <c r="E49" i="5"/>
  <c r="E51" i="5"/>
  <c r="E50" i="5"/>
  <c r="B60" i="5" l="1"/>
  <c r="G31" i="5" l="1"/>
  <c r="F50" i="5"/>
  <c r="I27" i="5"/>
  <c r="I26" i="5" l="1"/>
  <c r="F49" i="5"/>
  <c r="H24" i="5"/>
  <c r="F9" i="5"/>
  <c r="G9" i="5" s="1"/>
  <c r="E9" i="5"/>
  <c r="I9" i="5" s="1"/>
  <c r="H14" i="5" l="1"/>
  <c r="F15" i="5"/>
  <c r="G15" i="5" s="1"/>
  <c r="H15" i="5" s="1"/>
  <c r="I15" i="5" s="1"/>
  <c r="B68" i="5"/>
  <c r="E73" i="5" l="1"/>
  <c r="G3" i="6" l="1"/>
  <c r="G2" i="6"/>
  <c r="G1" i="6"/>
  <c r="D6" i="6" l="1"/>
  <c r="E12" i="6"/>
  <c r="D12" i="6"/>
  <c r="C12" i="6"/>
  <c r="C6" i="6"/>
  <c r="F6" i="6" s="1"/>
  <c r="G12" i="6" l="1"/>
  <c r="D10" i="6" s="1"/>
  <c r="B37" i="5"/>
  <c r="D71" i="5" l="1"/>
  <c r="B71" i="5" s="1"/>
  <c r="G77" i="5"/>
  <c r="G96" i="5"/>
  <c r="G95" i="5"/>
  <c r="E96" i="5" l="1"/>
  <c r="E95" i="5" l="1"/>
  <c r="B50" i="5" l="1"/>
  <c r="B51" i="5"/>
  <c r="B49" i="5"/>
  <c r="C52" i="5" l="1"/>
  <c r="D52" i="5" s="1"/>
  <c r="C51" i="5"/>
  <c r="C50" i="5"/>
  <c r="C49" i="5"/>
  <c r="E53" i="5" l="1"/>
  <c r="D51" i="5"/>
  <c r="D50" i="5"/>
  <c r="D49" i="5"/>
  <c r="E67" i="5" l="1"/>
  <c r="B61" i="5"/>
  <c r="F53" i="5"/>
  <c r="D53" i="5"/>
  <c r="G67" i="5" l="1"/>
  <c r="I72" i="5"/>
  <c r="B67" i="5"/>
  <c r="B9" i="6"/>
  <c r="B3" i="6"/>
  <c r="D3" i="6" s="1"/>
  <c r="I8" i="5" s="1"/>
  <c r="E8" i="5" s="1"/>
  <c r="D9" i="6" l="1"/>
  <c r="B91" i="5" s="1"/>
  <c r="F8" i="5" l="1"/>
  <c r="E13" i="5"/>
  <c r="F13" i="5" s="1"/>
  <c r="G13" i="5" s="1"/>
  <c r="B58" i="5" s="1"/>
  <c r="G21" i="5"/>
  <c r="H21" i="5" s="1"/>
  <c r="G8" i="5" l="1"/>
  <c r="B43" i="5" s="1"/>
  <c r="B44" i="5"/>
  <c r="B59" i="5"/>
  <c r="B62" i="5" s="1"/>
  <c r="G72" i="5" s="1"/>
  <c r="E71" i="5" s="1"/>
  <c r="B82" i="5"/>
  <c r="H73" i="5" l="1"/>
  <c r="B66" i="5"/>
  <c r="B69" i="5" s="1"/>
  <c r="C68" i="5" s="1"/>
  <c r="B45" i="5"/>
  <c r="B85" i="5"/>
  <c r="C82" i="5" s="1"/>
  <c r="C66" i="5" l="1"/>
  <c r="C73" i="5"/>
  <c r="C69" i="5"/>
  <c r="C67" i="5"/>
  <c r="C72" i="5"/>
  <c r="B74" i="5"/>
  <c r="E74" i="5" s="1"/>
  <c r="C71" i="5"/>
  <c r="C87" i="5"/>
  <c r="C88" i="5"/>
  <c r="C89" i="5"/>
  <c r="C83" i="5"/>
  <c r="C91" i="5"/>
  <c r="C85" i="5"/>
  <c r="C84" i="5"/>
  <c r="B93" i="5"/>
  <c r="C93" i="5" s="1"/>
  <c r="C90" i="5"/>
  <c r="B76" i="5" l="1"/>
  <c r="B96" i="5" s="1"/>
  <c r="C74" i="5"/>
  <c r="B97" i="5"/>
  <c r="A98" i="5" l="1"/>
  <c r="C7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Grégory JOECKLE</author>
    <author>Hélène GAUDOIN</author>
    <author>Djamila BERBAR</author>
  </authors>
  <commentList>
    <comment ref="A9" authorId="0" shapeId="0" xr:uid="{933F77F3-A088-41B5-9A52-9565DB9C9B28}">
      <text>
        <r>
          <rPr>
            <b/>
            <sz val="9"/>
            <color indexed="81"/>
            <rFont val="Tahoma"/>
            <family val="2"/>
          </rPr>
          <t xml:space="preserve">Programmes nationaux : Langues &amp; compétences, Handicap, Missions Jeunes / Garantie Jeunes, Réfugiés/HOPE.
</t>
        </r>
      </text>
    </comment>
    <comment ref="A11" authorId="1" shapeId="0" xr:uid="{FDD134C9-5684-4996-ABEF-984B181D1ADB}">
      <text>
        <r>
          <rPr>
            <b/>
            <sz val="9"/>
            <color indexed="81"/>
            <rFont val="Tahoma"/>
            <family val="2"/>
          </rPr>
          <t>Publics prioritaire définis par la loi :
-Les personnes âgées de 16 à 25 ans révolus qui n’ont pas validé un second cycle de l’enseignement secondaire et qui ne sont pas titulaires d’un diplôme de l’enseignement technologique ou professionnel,
-Les personnes inscrites depuis plus d’un an sur la liste des demandeurs d’emplois
-Les personnes bénéficiaires du revenu de solidarité active, de l’allocation de solidarité spécifique ou de l’allocation aux adultes handicapés ou aux personnes ayant bénéficié d’un contrat conclu dans le cadre des politiques de l’emploi.</t>
        </r>
      </text>
    </comment>
    <comment ref="A12" authorId="2" shapeId="0" xr:uid="{D4A64299-C2D8-4B9D-B209-3A72DCE51A86}">
      <text>
        <r>
          <rPr>
            <b/>
            <sz val="9"/>
            <color indexed="81"/>
            <rFont val="Tahoma"/>
            <charset val="1"/>
          </rPr>
          <t>Publics spécifiques du TT :
- les personnes en situation de handicap
- les séniors et 
- les bénéficiaires du RSA</t>
        </r>
      </text>
    </comment>
    <comment ref="A18" authorId="0" shapeId="0" xr:uid="{3653C4C4-B4B6-457E-8DB1-E8A1B3545BDF}">
      <text>
        <r>
          <rPr>
            <b/>
            <sz val="9"/>
            <color indexed="81"/>
            <rFont val="Tahoma"/>
            <family val="2"/>
          </rPr>
          <t xml:space="preserve"> 
Contrat de  6 à 36 mois </t>
        </r>
      </text>
    </comment>
    <comment ref="A19" authorId="0" shapeId="0" xr:uid="{9534F1EA-D422-4184-8560-A39193EDFDA4}">
      <text>
        <r>
          <rPr>
            <sz val="9"/>
            <color indexed="81"/>
            <rFont val="Tahoma"/>
            <family val="2"/>
          </rPr>
          <t xml:space="preserve">Minimum 150 h
Attention !!! vérifier le pourcentage de durée de formation 
15 à 25 % ou 15 à 50 %
</t>
        </r>
      </text>
    </comment>
    <comment ref="A21" authorId="0" shapeId="0" xr:uid="{B6FC74B7-9933-462F-99B1-38268B45681F}">
      <text>
        <r>
          <rPr>
            <b/>
            <sz val="9"/>
            <color indexed="81"/>
            <rFont val="Tahoma"/>
            <family val="2"/>
          </rPr>
          <t xml:space="preserve">
Heures Totales du contrat =heures de formation + heures travaillées</t>
        </r>
        <r>
          <rPr>
            <sz val="9"/>
            <color indexed="81"/>
            <rFont val="Tahoma"/>
            <family val="2"/>
          </rPr>
          <t xml:space="preserve">
</t>
        </r>
      </text>
    </comment>
    <comment ref="A23" authorId="0" shapeId="0" xr:uid="{6A399B6B-006A-45EB-9BF2-C4F41CBBD461}">
      <text>
        <r>
          <rPr>
            <b/>
            <sz val="9"/>
            <color indexed="81"/>
            <rFont val="Tahoma"/>
            <family val="2"/>
          </rPr>
          <t xml:space="preserve">
Ce taux va permettre de calculer automatiquement le taux horaire pendant la formation  (cellule E8):  70%, 80% du SMIC, 85% du salaire minimum conventionnel. Dans le cas où vous avez séléctionné "SMIC ou +" en cellule B21, alors aucun % de déductions ne s'appliquera.</t>
        </r>
      </text>
    </comment>
    <comment ref="C30" authorId="0" shapeId="0" xr:uid="{94CF8B45-AB8A-4D74-8A95-5C46E6F2D356}">
      <text>
        <r>
          <rPr>
            <b/>
            <sz val="9"/>
            <color indexed="81"/>
            <rFont val="Tahoma"/>
            <family val="2"/>
          </rPr>
          <t xml:space="preserve">
Total heures de formation /7 h = Nbre de jours</t>
        </r>
        <r>
          <rPr>
            <sz val="9"/>
            <color indexed="81"/>
            <rFont val="Tahoma"/>
            <family val="2"/>
          </rPr>
          <t xml:space="preserve">
</t>
        </r>
      </text>
    </comment>
    <comment ref="E30" authorId="0" shapeId="0" xr:uid="{11B8CF45-307A-489D-8575-D01226D86C56}">
      <text>
        <r>
          <rPr>
            <sz val="9"/>
            <color indexed="81"/>
            <rFont val="Tahoma"/>
            <family val="2"/>
          </rPr>
          <t xml:space="preserve">Nbre de jours = Heures de travail / 7h  
Congés= 2,5 jours/mois
Résultat = Nbre de jours - congés
</t>
        </r>
      </text>
    </comment>
    <comment ref="C31" authorId="0" shapeId="0" xr:uid="{A065F21B-86AE-4776-8A8C-88EDBE13B14F}">
      <text>
        <r>
          <rPr>
            <sz val="9"/>
            <color indexed="81"/>
            <rFont val="Tahoma"/>
            <family val="2"/>
          </rPr>
          <t xml:space="preserve">Nbre de jours / 5 = Nbre de semaines
</t>
        </r>
      </text>
    </comment>
    <comment ref="A32" authorId="0" shapeId="0" xr:uid="{494FEF05-F0CF-48F4-B2BE-1C148292D5AD}">
      <text>
        <r>
          <rPr>
            <b/>
            <sz val="9"/>
            <color indexed="81"/>
            <rFont val="Tahoma"/>
            <family val="2"/>
          </rPr>
          <t xml:space="preserve">Taux horaire brut de délégation en Entreprise Utilisatrise </t>
        </r>
        <r>
          <rPr>
            <sz val="9"/>
            <color indexed="81"/>
            <rFont val="Tahoma"/>
            <family val="2"/>
          </rPr>
          <t xml:space="preserve">
</t>
        </r>
      </text>
    </comment>
    <comment ref="A33" authorId="0" shapeId="0" xr:uid="{630742F3-F6D1-4D9D-98BC-CD575BDAF556}">
      <text>
        <r>
          <rPr>
            <b/>
            <sz val="9"/>
            <color indexed="81"/>
            <rFont val="Tahoma"/>
            <family val="2"/>
          </rPr>
          <t>Charges totales réelles de l'agence d'emploi, hors IFM et ICP
En %
Ce taux varie selon l'entreprise</t>
        </r>
      </text>
    </comment>
    <comment ref="A34" authorId="0" shapeId="0" xr:uid="{974BDFB5-0F09-4F80-95AF-D2CA8FBC9476}">
      <text>
        <r>
          <rPr>
            <b/>
            <sz val="9"/>
            <color indexed="81"/>
            <rFont val="Tahoma"/>
            <family val="2"/>
          </rPr>
          <t xml:space="preserve">Coefficient, permet de calculer la facturation de l'agence d'emploi
</t>
        </r>
        <r>
          <rPr>
            <sz val="9"/>
            <color indexed="81"/>
            <rFont val="Tahoma"/>
            <family val="2"/>
          </rPr>
          <t xml:space="preserve">
</t>
        </r>
      </text>
    </comment>
    <comment ref="A72" authorId="0" shapeId="0" xr:uid="{361DC376-B354-4A09-BDE2-876B0B727AB5}">
      <text>
        <r>
          <rPr>
            <b/>
            <sz val="9"/>
            <color indexed="81"/>
            <rFont val="Tahoma"/>
            <family val="2"/>
          </rPr>
          <t>Budgets possibles :</t>
        </r>
        <r>
          <rPr>
            <sz val="9"/>
            <color indexed="81"/>
            <rFont val="Tahoma"/>
            <family val="2"/>
          </rPr>
          <t xml:space="preserve">
-Investissement formation
-FPE.TT uniquement pour les intérimaires.
- Sur le 10% CDII
</t>
        </r>
      </text>
    </comment>
    <comment ref="D72" authorId="1" shapeId="0" xr:uid="{49D25A93-7CBD-4FBB-8367-DFE17C24412F}">
      <text>
        <r>
          <rPr>
            <b/>
            <sz val="9"/>
            <color indexed="81"/>
            <rFont val="Tahoma"/>
            <family val="2"/>
          </rPr>
          <t>Comment financer le reste à charge ?</t>
        </r>
        <r>
          <rPr>
            <sz val="9"/>
            <color indexed="81"/>
            <rFont val="Tahoma"/>
            <family val="2"/>
          </rPr>
          <t xml:space="preserve">
-Sur l'investissement formation
-Sur le FPE.TT uniquement pour les intérimaires.
- Sur le 10% CDII</t>
        </r>
      </text>
    </comment>
  </commentList>
</comments>
</file>

<file path=xl/sharedStrings.xml><?xml version="1.0" encoding="utf-8"?>
<sst xmlns="http://schemas.openxmlformats.org/spreadsheetml/2006/main" count="348" uniqueCount="293">
  <si>
    <t>Nbr unités</t>
  </si>
  <si>
    <t>Coût unitaire</t>
  </si>
  <si>
    <t>Coût HT du projet</t>
  </si>
  <si>
    <t>Barèmes</t>
  </si>
  <si>
    <t>Intérimaire</t>
  </si>
  <si>
    <t>Coût pédagogique total</t>
  </si>
  <si>
    <t>Coût unitaire Petit déjeuner</t>
  </si>
  <si>
    <t>Coût unitaire Hébergement</t>
  </si>
  <si>
    <t>Oui</t>
  </si>
  <si>
    <t>Non</t>
  </si>
  <si>
    <t>Liste déroulante    (voir barèmes)    cliquez ici -&gt;</t>
  </si>
  <si>
    <t>Coût unitaire Repas</t>
  </si>
  <si>
    <t>Mot de passe :FAFTT</t>
  </si>
  <si>
    <t>Nbre de Repas</t>
  </si>
  <si>
    <t>Nbre de Petit déjeuner</t>
  </si>
  <si>
    <t>Nbre d'Hébergement</t>
  </si>
  <si>
    <t>Comparateur</t>
  </si>
  <si>
    <t>Salaire</t>
  </si>
  <si>
    <t>Perform + €HT/ heure</t>
  </si>
  <si>
    <t>Repas</t>
  </si>
  <si>
    <t>Petit déjeuner</t>
  </si>
  <si>
    <t>Hébergement</t>
  </si>
  <si>
    <t>Transport</t>
  </si>
  <si>
    <t xml:space="preserve">Certifiante                 =&gt; Liste déroulante cliquez ici </t>
  </si>
  <si>
    <t xml:space="preserve">PERFORM +               =&gt; Liste déroulante cliquez ici </t>
  </si>
  <si>
    <t>Formation certifiante</t>
  </si>
  <si>
    <t>Age du salarié</t>
  </si>
  <si>
    <t xml:space="preserve">Nbre d'heures de formation </t>
  </si>
  <si>
    <t>Coût horaire</t>
  </si>
  <si>
    <t>Salarié intérimaire ou permanent ?</t>
  </si>
  <si>
    <t>Heures Hebdomadaires</t>
  </si>
  <si>
    <t>&lt; 21 ans</t>
  </si>
  <si>
    <t>21 à 25 ans</t>
  </si>
  <si>
    <t>&gt;= 26 ans</t>
  </si>
  <si>
    <t xml:space="preserve">Année d'execution formation </t>
  </si>
  <si>
    <t>2 ième</t>
  </si>
  <si>
    <t>3 ième</t>
  </si>
  <si>
    <t>1ère, 2ième ou 3ième année de formation ?</t>
  </si>
  <si>
    <t>1 ère</t>
  </si>
  <si>
    <t xml:space="preserve">Oui </t>
  </si>
  <si>
    <t>Non, reconnaissance convention collective</t>
  </si>
  <si>
    <t>Niveau de formation du salarié</t>
  </si>
  <si>
    <t>&gt;= Bac pro</t>
  </si>
  <si>
    <t>&lt; Bac Pro</t>
  </si>
  <si>
    <t>Nombres d'heures de formation</t>
  </si>
  <si>
    <t>Heures totales du contrat</t>
  </si>
  <si>
    <t>Nombres d'heures totales du contrat</t>
  </si>
  <si>
    <t xml:space="preserve">Coût total  salaire </t>
  </si>
  <si>
    <t xml:space="preserve">Coût total  Frais annexes </t>
  </si>
  <si>
    <t>Salaire Contrat de professionnalisation</t>
  </si>
  <si>
    <t>Branche</t>
  </si>
  <si>
    <t>Salaire Contrat d'apprentissage</t>
  </si>
  <si>
    <t>% Smic</t>
  </si>
  <si>
    <t xml:space="preserve">16 -18 </t>
  </si>
  <si>
    <t xml:space="preserve">18 - 21 </t>
  </si>
  <si>
    <t xml:space="preserve">&gt;= 21 </t>
  </si>
  <si>
    <t xml:space="preserve">Certifiante                </t>
  </si>
  <si>
    <t>Apprentissage</t>
  </si>
  <si>
    <t>Contrat Pro &lt;Bac pro</t>
  </si>
  <si>
    <t>Contrat pro &gt; bac pro</t>
  </si>
  <si>
    <t>1ER</t>
  </si>
  <si>
    <t>2IEME</t>
  </si>
  <si>
    <t>3IEME</t>
  </si>
  <si>
    <t>&lt;BAC</t>
  </si>
  <si>
    <t>&gt;BAC</t>
  </si>
  <si>
    <t>AGE</t>
  </si>
  <si>
    <t>DIPLOME</t>
  </si>
  <si>
    <t>ANNEE ETUDE</t>
  </si>
  <si>
    <t>RESULTAT =&gt;</t>
  </si>
  <si>
    <t>78.20Z</t>
  </si>
  <si>
    <t>Salaire Contrat pro</t>
  </si>
  <si>
    <t>1ère année</t>
  </si>
  <si>
    <t>2ième année</t>
  </si>
  <si>
    <t>3ième année</t>
  </si>
  <si>
    <t>Tx horaire brut de base</t>
  </si>
  <si>
    <t>Salaire mensuel de base</t>
  </si>
  <si>
    <t xml:space="preserve">Métiers </t>
  </si>
  <si>
    <t xml:space="preserve">Convention collective </t>
  </si>
  <si>
    <t>Validation a minima</t>
  </si>
  <si>
    <t>Soudeur, chaudronnier,</t>
  </si>
  <si>
    <t>Opérateur régleur,</t>
  </si>
  <si>
    <t>Ajusteur monteur,</t>
  </si>
  <si>
    <t>Conducteur de machines automatisées</t>
  </si>
  <si>
    <t>UIMM (Métallurgie)</t>
  </si>
  <si>
    <t>IDCC 54</t>
  </si>
  <si>
    <t>Coefficient 170 (N2 Echelon 1)</t>
  </si>
  <si>
    <t>Opérateur plasturgie,</t>
  </si>
  <si>
    <t>Opérateur sur presse à injecter</t>
  </si>
  <si>
    <t>Plasturgie </t>
  </si>
  <si>
    <t>IDCC 292</t>
  </si>
  <si>
    <t>Coefficient 720</t>
  </si>
  <si>
    <t>Magasinier cariste, préparateur</t>
  </si>
  <si>
    <t>de commandes</t>
  </si>
  <si>
    <t>Transport et auxiliaires de transport</t>
  </si>
  <si>
    <t>IDCC 16</t>
  </si>
  <si>
    <t>Groupe 4 - coefficient 120  </t>
  </si>
  <si>
    <t>Magasinier cariste, vendeur</t>
  </si>
  <si>
    <t>Commerce de gros</t>
  </si>
  <si>
    <t>IDCC 573</t>
  </si>
  <si>
    <t>Niv 2</t>
  </si>
  <si>
    <t>Conducteur routier</t>
  </si>
  <si>
    <t xml:space="preserve">IDCC 16 </t>
  </si>
  <si>
    <r>
      <t xml:space="preserve">Lourd : </t>
    </r>
    <r>
      <rPr>
        <b/>
        <i/>
        <u/>
        <sz val="12"/>
        <color theme="1"/>
        <rFont val="Times New Roman"/>
        <family val="1"/>
      </rPr>
      <t>Permis C + Fimo</t>
    </r>
  </si>
  <si>
    <t>groupe 5 coefficient 128 M</t>
  </si>
  <si>
    <r>
      <t xml:space="preserve">Super lourd : </t>
    </r>
    <r>
      <rPr>
        <b/>
        <i/>
        <u/>
        <sz val="12"/>
        <color theme="1"/>
        <rFont val="Times New Roman"/>
        <family val="1"/>
      </rPr>
      <t>Permis EC + Fimo</t>
    </r>
  </si>
  <si>
    <t>groupe 6 Coefficient 148 M</t>
  </si>
  <si>
    <r>
      <t xml:space="preserve">Transport voyageurs : </t>
    </r>
    <r>
      <rPr>
        <b/>
        <i/>
        <u/>
        <sz val="12"/>
        <color theme="1"/>
        <rFont val="Times New Roman"/>
        <family val="1"/>
      </rPr>
      <t>Permis D + Fimo</t>
    </r>
  </si>
  <si>
    <t>groupe 7 coefficient 138 M</t>
  </si>
  <si>
    <t>Maçon VRD</t>
  </si>
  <si>
    <t>Travaux publics</t>
  </si>
  <si>
    <t>IDCC 1702</t>
  </si>
  <si>
    <t>N1 P2 coefficient 110</t>
  </si>
  <si>
    <t>Coffreur bancheur, Conducteur d’engins</t>
  </si>
  <si>
    <t>Bâtiment</t>
  </si>
  <si>
    <t>IDCC 1596 /1597</t>
  </si>
  <si>
    <t>N1 P2 coefficient 170</t>
  </si>
  <si>
    <t>Téléconseiller /Technicien de Maintenance Nucléaire</t>
  </si>
  <si>
    <t>Syntec</t>
  </si>
  <si>
    <t>IDCC 1486</t>
  </si>
  <si>
    <t>P1.3.1 Coef 220</t>
  </si>
  <si>
    <t>Opérateur en pharmacie industrielle, conditionneur</t>
  </si>
  <si>
    <t>Pharmacie Industrielle</t>
  </si>
  <si>
    <t>IDCC 176</t>
  </si>
  <si>
    <t>Groupe 2 Niv A ou B</t>
  </si>
  <si>
    <t>Découpeur, désosseur de volailles,</t>
  </si>
  <si>
    <t>Ouvrier Polyvalent</t>
  </si>
  <si>
    <t>Abattoirs de volailles</t>
  </si>
  <si>
    <t>IDCC 1938</t>
  </si>
  <si>
    <t>N1 Coef 135</t>
  </si>
  <si>
    <t>N2 Coef 145</t>
  </si>
  <si>
    <t>Industrie Agroalimentaire</t>
  </si>
  <si>
    <t>IDCC 504</t>
  </si>
  <si>
    <t>Téléconseiller</t>
  </si>
  <si>
    <t>Personnel des Prestataires de Services dans le domaine du Secteur Tertiaire</t>
  </si>
  <si>
    <t>IDCC 2098</t>
  </si>
  <si>
    <t>Coef 150</t>
  </si>
  <si>
    <t>Coef 130 : si centre d’appel non intégré</t>
  </si>
  <si>
    <t>(ex : Téléperformance)</t>
  </si>
  <si>
    <t>2) Loi Cherpion et succession de contrats de professionnalisation </t>
  </si>
  <si>
    <r>
      <t xml:space="preserve">Le renouvellement d’un contrat de professionnalisation en CDD est dorénavant possible dans le cas où le salarié a obtenu sa qualification, à condition que le deuxième contrat prépare une qualification supérieure </t>
    </r>
    <r>
      <rPr>
        <b/>
        <sz val="10"/>
        <color rgb="FF0070C0"/>
        <rFont val="Optima"/>
      </rPr>
      <t>ou</t>
    </r>
    <r>
      <rPr>
        <sz val="10"/>
        <color rgb="FF0070C0"/>
        <rFont val="Optima"/>
      </rPr>
      <t xml:space="preserve"> complémentaire.</t>
    </r>
  </si>
  <si>
    <r>
      <t>Qualification supérieure</t>
    </r>
    <r>
      <rPr>
        <sz val="10"/>
        <color rgb="FF0070C0"/>
        <rFont val="Optima"/>
      </rPr>
      <t> </t>
    </r>
  </si>
  <si>
    <t>Le FAF. TT propose d’appliquer les principes présentés dans le tableau ci-dessous :</t>
  </si>
  <si>
    <t>Contrat 1</t>
  </si>
  <si>
    <t>Contrat 2</t>
  </si>
  <si>
    <t>Proposition</t>
  </si>
  <si>
    <t>Diplôme, Titre, CQP</t>
  </si>
  <si>
    <t>Oui, si diplôme, Titre ou CQP d’un niveau supérieur (ex : un BTS suivi d’une licence).</t>
  </si>
  <si>
    <t>CCN</t>
  </si>
  <si>
    <t>Oui, dans tous les cas.</t>
  </si>
  <si>
    <t>Oui, si le deuxième contrat permet une  élévation du niveau dans une même convention collective.</t>
  </si>
  <si>
    <t xml:space="preserve">CCN </t>
  </si>
  <si>
    <t>Qualification complémentaire </t>
  </si>
  <si>
    <t>Le FAF.TT propose d’appliquer le même principe que dans le cas des CDPI.</t>
  </si>
  <si>
    <t>Exemples de CDPI complémentaires:</t>
  </si>
  <si>
    <t>Conducteur d’engins de chantier</t>
  </si>
  <si>
    <t>TP CTRMTP</t>
  </si>
  <si>
    <t>TP CTRMTV</t>
  </si>
  <si>
    <r>
      <t>-</t>
    </r>
    <r>
      <rPr>
        <sz val="7"/>
        <color rgb="FF0070C0"/>
        <rFont val="Times New Roman"/>
        <family val="1"/>
      </rPr>
      <t xml:space="preserve">        </t>
    </r>
    <r>
      <rPr>
        <sz val="10"/>
        <color rgb="FF0070C0"/>
        <rFont val="Optima"/>
      </rPr>
      <t> </t>
    </r>
  </si>
  <si>
    <t>Oui, si diplôme, Titre ou CQP complémentaire dans un même domaine</t>
  </si>
  <si>
    <t>Oui dans tous les cas</t>
  </si>
  <si>
    <t>Oui, si le deuxième contrat est complémentaire dans un même domaine.</t>
  </si>
  <si>
    <t>Oui, si le contenu de formation et l’emploi visés sont complémentaires.</t>
  </si>
  <si>
    <t>Proposition de la commission : la commission propose de valider les propositions présentées ci-dessus. Elle demande que les parcours comportant des qualifications complémentaires pour les permanents lui soient présentés.</t>
  </si>
  <si>
    <t>Salaire Apprentissage</t>
  </si>
  <si>
    <t>Coefficient de facturation</t>
  </si>
  <si>
    <t>Facturation heures EU</t>
  </si>
  <si>
    <t>Total Facturation EU</t>
  </si>
  <si>
    <t>Total Coût pédagogique</t>
  </si>
  <si>
    <t>Total Coût des frais annexes</t>
  </si>
  <si>
    <t>Total Coût du salaire</t>
  </si>
  <si>
    <t>Total coût contrat pro</t>
  </si>
  <si>
    <t xml:space="preserve">Simulateur Financement Contrat de Professionnalisation </t>
  </si>
  <si>
    <t xml:space="preserve">EU Total facturation </t>
  </si>
  <si>
    <t>Total Recettes</t>
  </si>
  <si>
    <t>% du coût total</t>
  </si>
  <si>
    <t>Dépenses</t>
  </si>
  <si>
    <t>En Euros</t>
  </si>
  <si>
    <t>Recettes</t>
  </si>
  <si>
    <t>Total coût apprentissage</t>
  </si>
  <si>
    <t>Volume de marge si Contrat de Professionnalisation</t>
  </si>
  <si>
    <t>Volume de marge si Contrat d'Apprentissage</t>
  </si>
  <si>
    <t xml:space="preserve"> Avec Charges</t>
  </si>
  <si>
    <t xml:space="preserve">Montant total des aides financières </t>
  </si>
  <si>
    <t>Résultat</t>
  </si>
  <si>
    <t>Mode d'emploi contrat apprentissage Intérimaire</t>
  </si>
  <si>
    <t>Simulateur Financement Contrat Apprentissage</t>
  </si>
  <si>
    <t>Coefficient de facturation délégation EU</t>
  </si>
  <si>
    <t>Avec IFM</t>
  </si>
  <si>
    <t xml:space="preserve">Marge sur salaire </t>
  </si>
  <si>
    <t>Marge Totale</t>
  </si>
  <si>
    <t>(Optionnel) Coût du diplôme pour le CFA</t>
  </si>
  <si>
    <t>(Optionnel) Financement diplôme par taxe apprentisage</t>
  </si>
  <si>
    <t>Base calcul  salaire EU FAF.TT</t>
  </si>
  <si>
    <t>Coût salarial total en Formation</t>
  </si>
  <si>
    <t>Total réel coût salarial</t>
  </si>
  <si>
    <t xml:space="preserve">Coût salarial en Entreprise </t>
  </si>
  <si>
    <t xml:space="preserve"> En formation </t>
  </si>
  <si>
    <t>En entreprise</t>
  </si>
  <si>
    <t>Nombres d'heures en entreprise</t>
  </si>
  <si>
    <t>Estimation du Coût pédagogique</t>
  </si>
  <si>
    <t>Estimation des frais Annexes</t>
  </si>
  <si>
    <t xml:space="preserve">Total estimation FAF.TT coût salarial </t>
  </si>
  <si>
    <t xml:space="preserve">Perte salaire en formation </t>
  </si>
  <si>
    <t>Nbre en formation</t>
  </si>
  <si>
    <t>En formation</t>
  </si>
  <si>
    <t>En Entreprise</t>
  </si>
  <si>
    <t>Nbre en Entreprise</t>
  </si>
  <si>
    <t>Coût unitaire transport</t>
  </si>
  <si>
    <t>Nbre de transport</t>
  </si>
  <si>
    <t>Nbre de jours en OF à Temps plein</t>
  </si>
  <si>
    <t>Nbre de jours en entreprises à temps plein</t>
  </si>
  <si>
    <t>En semaine</t>
  </si>
  <si>
    <t xml:space="preserve">Calcul du coût salarial total </t>
  </si>
  <si>
    <t>Synthèse</t>
  </si>
  <si>
    <t>Remboursement rémunération par le FAF.TT</t>
  </si>
  <si>
    <t xml:space="preserve">Lien vers Simulateur Apprentissage et contrat pro Rémunération et d'aides aux entreprises </t>
  </si>
  <si>
    <t xml:space="preserve"> €HT/ heure</t>
  </si>
  <si>
    <t>Paramètres à compléter</t>
  </si>
  <si>
    <t>Date début contrat</t>
  </si>
  <si>
    <t>Date fin contrat</t>
  </si>
  <si>
    <t xml:space="preserve">Nb jours </t>
  </si>
  <si>
    <t xml:space="preserve">Nb mois </t>
  </si>
  <si>
    <t>Nb semaines</t>
  </si>
  <si>
    <t>Temps de travail hebdo</t>
  </si>
  <si>
    <t>Nb heures total contrat</t>
  </si>
  <si>
    <t>Nb heures formation 15%</t>
  </si>
  <si>
    <t>Nb heures formation 25%</t>
  </si>
  <si>
    <t>Nb heures formation 50%</t>
  </si>
  <si>
    <t>Un contrat de 6 mois est &gt;= 180jours</t>
  </si>
  <si>
    <t>Attention au maxi de prise en charge sans référentiel diplôme permettant de déroger au plafond (BEP : 1000H, BAC/BTS : 1200H)</t>
  </si>
  <si>
    <t>Total de prise en charge maxi pour un diplôme avec référentiel : 1500H</t>
  </si>
  <si>
    <t>Par convention : un contrat du 01/01/2007 au 01/01/2008 est un contrat de plus de 12 mois.</t>
  </si>
  <si>
    <t>ATTENTION : Philae bloque un contrat de ce type avec 458H et une validation diplôme. Ce dossier est conforme et doit être forcé.</t>
  </si>
  <si>
    <t>Calcul du nombre d'heures de formation en fonction d'un % d'actions de formation et d'un nombre de mois</t>
  </si>
  <si>
    <t>Nb mois</t>
  </si>
  <si>
    <t>% d'action de formation</t>
  </si>
  <si>
    <t>Nb heures formation</t>
  </si>
  <si>
    <t>Calcul du nombre de mois en fonction du nombre d'heures de formation et du % souhaité</t>
  </si>
  <si>
    <t>Nb heures de formation</t>
  </si>
  <si>
    <t>Nb de mois</t>
  </si>
  <si>
    <t>Permanent CDI</t>
  </si>
  <si>
    <t>Permanent CDD</t>
  </si>
  <si>
    <t>TOTAL</t>
  </si>
  <si>
    <t>Renseignez les cases blanches</t>
  </si>
  <si>
    <t>Simulateur Contrat de professionnalisation</t>
  </si>
  <si>
    <t xml:space="preserve">Calcul des frais annexes </t>
  </si>
  <si>
    <t>% charges sur taux horaire Contrat pro</t>
  </si>
  <si>
    <t>Taux horaire Brut</t>
  </si>
  <si>
    <t>Forfaits Professionnalisation</t>
  </si>
  <si>
    <t>PERFORM +        (Infobulle ici)</t>
  </si>
  <si>
    <t>Coeff Congés payés  / IFM</t>
  </si>
  <si>
    <t>% de formation</t>
  </si>
  <si>
    <t xml:space="preserve">Total </t>
  </si>
  <si>
    <t>Nombre d'heures hebdomadaires</t>
  </si>
  <si>
    <t>Nbre de mois de contrat</t>
  </si>
  <si>
    <t xml:space="preserve">Salaire mensuel  </t>
  </si>
  <si>
    <t xml:space="preserve">Taux horaire brut de référence
pendant la formation (Sans appliquer les % de déductions Age/Diplôme) </t>
  </si>
  <si>
    <t>Avec ICP</t>
  </si>
  <si>
    <t>&gt;=26</t>
  </si>
  <si>
    <t>SMIC</t>
  </si>
  <si>
    <t>Taux horaire de référence</t>
  </si>
  <si>
    <t>Taux horaire en formation</t>
  </si>
  <si>
    <t xml:space="preserve">Comment souhaitez-vous rémunérer le salarié pendant la formation ? </t>
  </si>
  <si>
    <t>Calcul du coût total en formation</t>
  </si>
  <si>
    <t xml:space="preserve">Frais Annexes non imputable </t>
  </si>
  <si>
    <t>% Minimum conventionnel</t>
  </si>
  <si>
    <t>% SMIC</t>
  </si>
  <si>
    <t xml:space="preserve">SMIC ou +  </t>
  </si>
  <si>
    <t>Taux horaire en mission du PRO</t>
  </si>
  <si>
    <t xml:space="preserve">Congés payés déduits, hors jours fériés </t>
  </si>
  <si>
    <t>Formation sans cofinancement intérimaire</t>
  </si>
  <si>
    <t>Formation bénéficiant d'un cofinancement permanent</t>
  </si>
  <si>
    <t>Formation bénéficiant d'un cofinancement intérimaire</t>
  </si>
  <si>
    <t>Programme nationaux (Oui/Non)</t>
  </si>
  <si>
    <t>Forfait horaire de prise en charge AKTO</t>
  </si>
  <si>
    <t xml:space="preserve">Estimation AKTO salaire en formation </t>
  </si>
  <si>
    <t>Public prioritaire</t>
  </si>
  <si>
    <t>forfait CPRO intérimaire</t>
  </si>
  <si>
    <t>Formation sans confinancement permanent</t>
  </si>
  <si>
    <t>Surcoût possible</t>
  </si>
  <si>
    <t>AKTO Forfait</t>
  </si>
  <si>
    <t>AKTO Budgets disponibles pour surcoût</t>
  </si>
  <si>
    <t>Forfait coeff de charges sur rému AKTO</t>
  </si>
  <si>
    <t>Taux hor. brut en mission</t>
  </si>
  <si>
    <t>Tout savoir sur le contrat de professionnalisation</t>
  </si>
  <si>
    <r>
      <t xml:space="preserve">Simulateur réalisé à partir des critères de prise en charge  AKTO en vigueur. 
Outil d'aide à la décision n'ayant pas une valeur contractuelle.                  </t>
    </r>
    <r>
      <rPr>
        <b/>
        <sz val="9"/>
        <color rgb="FF1D4851"/>
        <rFont val="Franklin Gothic Book"/>
        <family val="2"/>
      </rPr>
      <t>MAJ AU 20 05 2025</t>
    </r>
  </si>
  <si>
    <r>
      <t xml:space="preserve">forfait CPRO intérimaire </t>
    </r>
    <r>
      <rPr>
        <b/>
        <sz val="14"/>
        <color theme="0"/>
        <rFont val="Franklin Gothic Book"/>
        <family val="2"/>
      </rPr>
      <t>Téléconseiller</t>
    </r>
    <r>
      <rPr>
        <sz val="14"/>
        <color theme="0"/>
        <rFont val="Franklin Gothic Book"/>
        <family val="2"/>
      </rPr>
      <t xml:space="preserve"> </t>
    </r>
    <r>
      <rPr>
        <b/>
        <sz val="14"/>
        <color theme="0"/>
        <rFont val="Franklin Gothic Book"/>
        <family val="2"/>
      </rPr>
      <t>niveau infra bac</t>
    </r>
  </si>
  <si>
    <t>forfait CPRO permanent et/ou public prioritaires</t>
  </si>
  <si>
    <t>Public spécifique</t>
  </si>
  <si>
    <t>&lt; Bac</t>
  </si>
  <si>
    <t>= Bac</t>
  </si>
  <si>
    <r>
      <t>forfait CPRO intérimaire</t>
    </r>
    <r>
      <rPr>
        <b/>
        <sz val="14"/>
        <color theme="0"/>
        <rFont val="Franklin Gothic Book"/>
        <family val="2"/>
      </rPr>
      <t xml:space="preserve"> Téléconseiller</t>
    </r>
    <r>
      <rPr>
        <sz val="14"/>
        <color theme="0"/>
        <rFont val="Franklin Gothic Book"/>
        <family val="2"/>
      </rPr>
      <t xml:space="preserve"> </t>
    </r>
    <r>
      <rPr>
        <b/>
        <sz val="14"/>
        <color theme="0"/>
        <rFont val="Franklin Gothic Book"/>
        <family val="2"/>
      </rPr>
      <t>niveau BAC max.</t>
    </r>
  </si>
  <si>
    <t>Programmes portés par AKTO ou public spécifique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</si>
</sst>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0\ &quot;€&quot;;\-#,##0\ &quot;€&quot;"/>
    <numFmt numFmtId="7" formatCode="#,##0.00\ &quot;€&quot;;\-#,##0.00\ &quot;€&quot;"/>
    <numFmt numFmtId="164" formatCode="_-* #,##0.00\ _€_-;\-* #,##0.00\ _€_-;_-* &quot;-&quot;??\ _€_-;_-@_-"/>
    <numFmt numFmtId="165" formatCode="#,##0.00_ ;\-#,##0.00\ "/>
    <numFmt numFmtId="166" formatCode="#,##0_ ;\-#,##0\ "/>
    <numFmt numFmtId="167" formatCode="#,##0.00\ &quot;€&quot;"/>
    <numFmt numFmtId="168" formatCode="0.0"/>
    <numFmt numFmtId="169" formatCode="#,##0.00\ _€"/>
    <numFmt numFmtId="170" formatCode="d\-mmm\-yy"/>
    <numFmt numFmtId="171" formatCode="0.0000%"/>
    <numFmt numFmtId="172" formatCode="#,##0\ &quot;€&quot;"/>
  </numFmts>
  <fonts count="97">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theme="4" tint="-0.499984740745262"/>
      <name val="Calibri"/>
      <family val="2"/>
      <scheme val="minor"/>
    </font>
    <font>
      <i/>
      <sz val="11"/>
      <color theme="1"/>
      <name val="Calibri"/>
      <family val="2"/>
      <scheme val="minor"/>
    </font>
    <font>
      <u/>
      <sz val="11"/>
      <color theme="10"/>
      <name val="Calibri"/>
      <family val="2"/>
      <scheme val="minor"/>
    </font>
    <font>
      <sz val="12"/>
      <color theme="1"/>
      <name val="Times New Roman"/>
      <family val="1"/>
    </font>
    <font>
      <b/>
      <sz val="12"/>
      <color theme="1"/>
      <name val="Times New Roman"/>
      <family val="1"/>
    </font>
    <font>
      <i/>
      <sz val="12"/>
      <color theme="1"/>
      <name val="Times New Roman"/>
      <family val="1"/>
    </font>
    <font>
      <b/>
      <i/>
      <u/>
      <sz val="12"/>
      <color theme="1"/>
      <name val="Times New Roman"/>
      <family val="1"/>
    </font>
    <font>
      <b/>
      <u/>
      <sz val="10"/>
      <color rgb="FF0070C0"/>
      <name val="Optima"/>
    </font>
    <font>
      <sz val="10"/>
      <color rgb="FF0070C0"/>
      <name val="Optima"/>
    </font>
    <font>
      <b/>
      <sz val="10"/>
      <color rgb="FF0070C0"/>
      <name val="Optima"/>
    </font>
    <font>
      <sz val="10"/>
      <color rgb="FF0070C0"/>
      <name val="Arial"/>
      <family val="2"/>
    </font>
    <font>
      <sz val="7"/>
      <color rgb="FF0070C0"/>
      <name val="Times New Roman"/>
      <family val="1"/>
    </font>
    <font>
      <b/>
      <i/>
      <sz val="10"/>
      <color rgb="FF0070C0"/>
      <name val="Optima"/>
    </font>
    <font>
      <b/>
      <sz val="10"/>
      <name val="Arial"/>
      <family val="2"/>
    </font>
    <font>
      <b/>
      <sz val="14"/>
      <color rgb="FFFF0000"/>
      <name val="Calibri"/>
      <family val="2"/>
      <scheme val="minor"/>
    </font>
    <font>
      <sz val="9"/>
      <color indexed="81"/>
      <name val="Tahoma"/>
      <family val="2"/>
    </font>
    <font>
      <b/>
      <sz val="9"/>
      <color indexed="81"/>
      <name val="Tahoma"/>
      <family val="2"/>
    </font>
    <font>
      <sz val="10"/>
      <name val="Arial"/>
      <family val="2"/>
    </font>
    <font>
      <b/>
      <sz val="12"/>
      <name val="Arial"/>
      <family val="2"/>
    </font>
    <font>
      <sz val="12"/>
      <name val="Arial"/>
      <family val="2"/>
    </font>
    <font>
      <b/>
      <sz val="12"/>
      <color rgb="FFFF0000"/>
      <name val="Arial"/>
      <family val="2"/>
    </font>
    <font>
      <b/>
      <i/>
      <sz val="12"/>
      <color theme="4" tint="-0.499984740745262"/>
      <name val="Calibri"/>
      <family val="2"/>
      <scheme val="minor"/>
    </font>
    <font>
      <b/>
      <i/>
      <sz val="10"/>
      <color theme="4" tint="-0.499984740745262"/>
      <name val="Calibri"/>
      <family val="2"/>
      <scheme val="minor"/>
    </font>
    <font>
      <sz val="10"/>
      <name val="Calibri"/>
      <family val="2"/>
      <scheme val="minor"/>
    </font>
    <font>
      <sz val="10"/>
      <color theme="0"/>
      <name val="Arial"/>
      <family val="2"/>
    </font>
    <font>
      <b/>
      <sz val="10"/>
      <color theme="0"/>
      <name val="Arial"/>
      <family val="2"/>
    </font>
    <font>
      <sz val="11"/>
      <color theme="1"/>
      <name val="Franklin Gothic Book"/>
      <family val="2"/>
    </font>
    <font>
      <b/>
      <sz val="11"/>
      <color theme="2" tint="-0.89999084444715716"/>
      <name val="Franklin Gothic Book"/>
      <family val="2"/>
    </font>
    <font>
      <b/>
      <sz val="10"/>
      <color theme="4" tint="-0.249977111117893"/>
      <name val="Franklin Gothic Book"/>
      <family val="2"/>
    </font>
    <font>
      <b/>
      <sz val="10"/>
      <name val="Franklin Gothic Book"/>
      <family val="2"/>
    </font>
    <font>
      <b/>
      <sz val="18"/>
      <color theme="1"/>
      <name val="Franklin Gothic Book"/>
      <family val="2"/>
    </font>
    <font>
      <b/>
      <sz val="22"/>
      <name val="Franklin Gothic Book"/>
      <family val="2"/>
    </font>
    <font>
      <b/>
      <sz val="14"/>
      <color theme="0"/>
      <name val="Franklin Gothic Book"/>
      <family val="2"/>
    </font>
    <font>
      <b/>
      <sz val="11"/>
      <name val="Franklin Gothic Book"/>
      <family val="2"/>
    </font>
    <font>
      <b/>
      <sz val="11"/>
      <color theme="1"/>
      <name val="Franklin Gothic Book"/>
      <family val="2"/>
    </font>
    <font>
      <b/>
      <sz val="22"/>
      <color theme="1" tint="0.34998626667073579"/>
      <name val="Franklin Gothic Book"/>
      <family val="2"/>
    </font>
    <font>
      <sz val="12"/>
      <color theme="0"/>
      <name val="Franklin Gothic Book"/>
      <family val="2"/>
    </font>
    <font>
      <sz val="14"/>
      <color theme="0"/>
      <name val="Franklin Gothic Book"/>
      <family val="2"/>
    </font>
    <font>
      <b/>
      <sz val="8"/>
      <color theme="1"/>
      <name val="Franklin Gothic Book"/>
      <family val="2"/>
    </font>
    <font>
      <i/>
      <sz val="11"/>
      <color theme="1"/>
      <name val="Franklin Gothic Book"/>
      <family val="2"/>
    </font>
    <font>
      <i/>
      <sz val="11"/>
      <color theme="0" tint="-4.9989318521683403E-2"/>
      <name val="Franklin Gothic Book"/>
      <family val="2"/>
    </font>
    <font>
      <b/>
      <sz val="11"/>
      <color theme="0" tint="-4.9989318521683403E-2"/>
      <name val="Franklin Gothic Book"/>
      <family val="2"/>
    </font>
    <font>
      <sz val="11"/>
      <color theme="0" tint="-4.9989318521683403E-2"/>
      <name val="Franklin Gothic Book"/>
      <family val="2"/>
    </font>
    <font>
      <sz val="11"/>
      <name val="Franklin Gothic Book"/>
      <family val="2"/>
    </font>
    <font>
      <sz val="11"/>
      <color theme="0"/>
      <name val="Franklin Gothic Book"/>
      <family val="2"/>
    </font>
    <font>
      <b/>
      <sz val="11"/>
      <color rgb="FFFF0000"/>
      <name val="Franklin Gothic Book"/>
      <family val="2"/>
    </font>
    <font>
      <b/>
      <sz val="18"/>
      <name val="Franklin Gothic Book"/>
      <family val="2"/>
    </font>
    <font>
      <b/>
      <sz val="18"/>
      <color theme="2" tint="-0.749992370372631"/>
      <name val="Franklin Gothic Book"/>
      <family val="2"/>
    </font>
    <font>
      <u/>
      <sz val="11"/>
      <name val="Franklin Gothic Book"/>
      <family val="2"/>
    </font>
    <font>
      <b/>
      <i/>
      <sz val="11"/>
      <color theme="1"/>
      <name val="Franklin Gothic Book"/>
      <family val="2"/>
    </font>
    <font>
      <b/>
      <sz val="18"/>
      <color theme="2" tint="-0.499984740745262"/>
      <name val="Franklin Gothic Book"/>
      <family val="2"/>
    </font>
    <font>
      <b/>
      <sz val="14"/>
      <name val="Franklin Gothic Book"/>
      <family val="2"/>
    </font>
    <font>
      <sz val="11"/>
      <color rgb="FFFF0000"/>
      <name val="Franklin Gothic Book"/>
      <family val="2"/>
    </font>
    <font>
      <sz val="14"/>
      <color theme="0" tint="-4.9989318521683403E-2"/>
      <name val="Franklin Gothic Book"/>
      <family val="2"/>
    </font>
    <font>
      <sz val="14"/>
      <color rgb="FFFF0000"/>
      <name val="Franklin Gothic Book"/>
      <family val="2"/>
    </font>
    <font>
      <sz val="14"/>
      <name val="Franklin Gothic Book"/>
      <family val="2"/>
    </font>
    <font>
      <u/>
      <sz val="11"/>
      <color rgb="FFFF0000"/>
      <name val="Franklin Gothic Book"/>
      <family val="2"/>
    </font>
    <font>
      <i/>
      <sz val="14"/>
      <name val="Franklin Gothic Book"/>
      <family val="2"/>
    </font>
    <font>
      <u/>
      <sz val="14"/>
      <name val="Franklin Gothic Book"/>
      <family val="2"/>
    </font>
    <font>
      <i/>
      <sz val="14"/>
      <color theme="1"/>
      <name val="Franklin Gothic Book"/>
      <family val="2"/>
    </font>
    <font>
      <sz val="14"/>
      <color theme="9" tint="-0.499984740745262"/>
      <name val="Franklin Gothic Book"/>
      <family val="2"/>
    </font>
    <font>
      <b/>
      <i/>
      <sz val="11"/>
      <name val="Franklin Gothic Book"/>
      <family val="2"/>
    </font>
    <font>
      <i/>
      <sz val="11"/>
      <name val="Franklin Gothic Book"/>
      <family val="2"/>
    </font>
    <font>
      <i/>
      <u/>
      <sz val="11"/>
      <name val="Franklin Gothic Book"/>
      <family val="2"/>
    </font>
    <font>
      <u/>
      <sz val="11"/>
      <color theme="0" tint="-4.9989318521683403E-2"/>
      <name val="Franklin Gothic Book"/>
      <family val="2"/>
    </font>
    <font>
      <u/>
      <sz val="11"/>
      <color theme="10"/>
      <name val="Franklin Gothic Book"/>
      <family val="2"/>
    </font>
    <font>
      <b/>
      <sz val="8"/>
      <color rgb="FFFF0000"/>
      <name val="Franklin Gothic Book"/>
      <family val="2"/>
    </font>
    <font>
      <b/>
      <sz val="14"/>
      <color rgb="FFFF0000"/>
      <name val="Franklin Gothic Book"/>
      <family val="2"/>
    </font>
    <font>
      <b/>
      <sz val="14"/>
      <color rgb="FF00B050"/>
      <name val="Franklin Gothic Book"/>
      <family val="2"/>
    </font>
    <font>
      <b/>
      <sz val="11"/>
      <color rgb="FF00B050"/>
      <name val="Franklin Gothic Book"/>
      <family val="2"/>
    </font>
    <font>
      <b/>
      <i/>
      <sz val="10"/>
      <color theme="1"/>
      <name val="Franklin Gothic Book"/>
      <family val="2"/>
    </font>
    <font>
      <b/>
      <sz val="11"/>
      <color theme="2" tint="-0.749992370372631"/>
      <name val="Franklin Gothic Book"/>
      <family val="2"/>
    </font>
    <font>
      <b/>
      <i/>
      <sz val="11"/>
      <color rgb="FFFF0000"/>
      <name val="Franklin Gothic Book"/>
      <family val="2"/>
    </font>
    <font>
      <i/>
      <sz val="11"/>
      <color rgb="FFFF0000"/>
      <name val="Franklin Gothic Book"/>
      <family val="2"/>
    </font>
    <font>
      <b/>
      <i/>
      <sz val="10"/>
      <name val="Franklin Gothic Book"/>
      <family val="2"/>
    </font>
    <font>
      <b/>
      <i/>
      <sz val="11"/>
      <color theme="2" tint="-0.749992370372631"/>
      <name val="Franklin Gothic Book"/>
      <family val="2"/>
    </font>
    <font>
      <b/>
      <i/>
      <sz val="11"/>
      <color theme="0"/>
      <name val="Franklin Gothic Book"/>
      <family val="2"/>
    </font>
    <font>
      <b/>
      <sz val="11"/>
      <color theme="9" tint="-0.249977111117893"/>
      <name val="Franklin Gothic Book"/>
      <family val="2"/>
    </font>
    <font>
      <b/>
      <sz val="16"/>
      <color rgb="FF00A7AF"/>
      <name val="Franklin Gothic Book"/>
      <family val="2"/>
    </font>
    <font>
      <b/>
      <sz val="11"/>
      <color theme="0"/>
      <name val="Franklin Gothic Book"/>
      <family val="2"/>
    </font>
    <font>
      <sz val="11"/>
      <color rgb="FFE84563"/>
      <name val="Franklin Gothic Book"/>
      <family val="2"/>
    </font>
    <font>
      <b/>
      <sz val="16"/>
      <color rgb="FFE84563"/>
      <name val="Franklin Gothic Book"/>
      <family val="2"/>
    </font>
    <font>
      <b/>
      <sz val="10"/>
      <color theme="0"/>
      <name val="Franklin Gothic Book"/>
      <family val="2"/>
    </font>
    <font>
      <sz val="12"/>
      <color theme="0" tint="-4.9989318521683403E-2"/>
      <name val="Franklin Gothic Book"/>
      <family val="2"/>
    </font>
    <font>
      <b/>
      <sz val="8"/>
      <color theme="0" tint="-4.9989318521683403E-2"/>
      <name val="Franklin Gothic Book"/>
      <family val="2"/>
    </font>
    <font>
      <b/>
      <sz val="16"/>
      <color theme="0" tint="-4.9989318521683403E-2"/>
      <name val="Franklin Gothic Book"/>
      <family val="2"/>
    </font>
    <font>
      <sz val="16"/>
      <color theme="0" tint="-4.9989318521683403E-2"/>
      <name val="Franklin Gothic Book"/>
      <family val="2"/>
    </font>
    <font>
      <b/>
      <sz val="10"/>
      <color theme="0" tint="-4.9989318521683403E-2"/>
      <name val="Franklin Gothic Book"/>
      <family val="2"/>
    </font>
    <font>
      <b/>
      <sz val="8"/>
      <color theme="1"/>
      <name val="Daytona"/>
      <family val="2"/>
    </font>
    <font>
      <b/>
      <sz val="16"/>
      <color rgb="FF1D4851"/>
      <name val="Franklin Gothic Book"/>
      <family val="2"/>
    </font>
    <font>
      <u/>
      <sz val="16"/>
      <color rgb="FF1D4851"/>
      <name val="Calibri"/>
      <family val="2"/>
      <scheme val="minor"/>
    </font>
    <font>
      <b/>
      <sz val="9"/>
      <color rgb="FF1D4851"/>
      <name val="Franklin Gothic Book"/>
      <family val="2"/>
    </font>
    <font>
      <b/>
      <sz val="9"/>
      <color indexed="81"/>
      <name val="Tahoma"/>
      <charset val="1"/>
    </font>
  </fonts>
  <fills count="1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indexed="13"/>
        <bgColor indexed="64"/>
      </patternFill>
    </fill>
    <fill>
      <patternFill patternType="solid">
        <fgColor indexed="45"/>
        <bgColor indexed="64"/>
      </patternFill>
    </fill>
    <fill>
      <patternFill patternType="solid">
        <fgColor rgb="FFE84563"/>
        <bgColor indexed="64"/>
      </patternFill>
    </fill>
    <fill>
      <patternFill patternType="solid">
        <fgColor rgb="FF1D4851"/>
        <bgColor indexed="64"/>
      </patternFill>
    </fill>
    <fill>
      <patternFill patternType="solid">
        <fgColor rgb="FF14A89B"/>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top style="thin">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bottom/>
      <diagonal/>
    </border>
    <border>
      <left/>
      <right/>
      <top/>
      <bottom style="thin">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double">
        <color auto="1"/>
      </top>
      <bottom/>
      <diagonal/>
    </border>
    <border>
      <left style="thin">
        <color indexed="64"/>
      </left>
      <right style="thin">
        <color indexed="64"/>
      </right>
      <top style="thin">
        <color indexed="64"/>
      </top>
      <bottom style="medium">
        <color indexed="64"/>
      </bottom>
      <diagonal/>
    </border>
    <border>
      <left style="double">
        <color indexed="64"/>
      </left>
      <right/>
      <top/>
      <bottom style="thin">
        <color indexed="64"/>
      </bottom>
      <diagonal/>
    </border>
    <border>
      <left/>
      <right style="double">
        <color auto="1"/>
      </right>
      <top style="double">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double">
        <color auto="1"/>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right/>
      <top/>
      <bottom style="thick">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diagonal/>
    </border>
    <border>
      <left/>
      <right/>
      <top style="thin">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445">
    <xf numFmtId="0" fontId="0" fillId="0" borderId="0" xfId="0"/>
    <xf numFmtId="0" fontId="2" fillId="5" borderId="8" xfId="0" applyFont="1" applyFill="1" applyBorder="1" applyAlignment="1" applyProtection="1">
      <alignment horizontal="center" vertical="center"/>
      <protection locked="0"/>
    </xf>
    <xf numFmtId="0" fontId="0" fillId="2" borderId="7" xfId="0" applyFill="1" applyBorder="1" applyAlignment="1" applyProtection="1">
      <alignment vertical="center"/>
      <protection locked="0"/>
    </xf>
    <xf numFmtId="0" fontId="2" fillId="2" borderId="8" xfId="0" applyFont="1" applyFill="1" applyBorder="1" applyAlignment="1" applyProtection="1">
      <alignment horizontal="center" vertical="center"/>
      <protection locked="0"/>
    </xf>
    <xf numFmtId="0" fontId="5" fillId="0" borderId="0" xfId="0" applyFont="1"/>
    <xf numFmtId="0" fontId="0" fillId="2" borderId="0" xfId="0" applyFill="1"/>
    <xf numFmtId="0" fontId="0" fillId="0" borderId="0" xfId="0" applyAlignment="1">
      <alignment vertical="center"/>
    </xf>
    <xf numFmtId="0" fontId="3" fillId="0" borderId="27" xfId="0" applyFont="1" applyBorder="1"/>
    <xf numFmtId="0" fontId="0" fillId="0" borderId="24" xfId="0" applyBorder="1"/>
    <xf numFmtId="0" fontId="0" fillId="0" borderId="14" xfId="0" applyBorder="1"/>
    <xf numFmtId="0" fontId="0" fillId="0" borderId="4" xfId="0" applyBorder="1"/>
    <xf numFmtId="0" fontId="0" fillId="0" borderId="9" xfId="0" applyBorder="1" applyAlignment="1">
      <alignment horizontal="right"/>
    </xf>
    <xf numFmtId="0" fontId="0" fillId="7" borderId="9" xfId="0" applyFill="1" applyBorder="1"/>
    <xf numFmtId="0" fontId="0" fillId="7" borderId="4" xfId="0" applyFill="1" applyBorder="1"/>
    <xf numFmtId="0" fontId="0" fillId="7" borderId="1" xfId="0" applyFill="1" applyBorder="1"/>
    <xf numFmtId="0" fontId="0" fillId="0" borderId="4" xfId="0" applyBorder="1" applyAlignment="1">
      <alignment horizontal="center"/>
    </xf>
    <xf numFmtId="0" fontId="3" fillId="0" borderId="18" xfId="0" applyFont="1" applyBorder="1"/>
    <xf numFmtId="0" fontId="0" fillId="8" borderId="4" xfId="0" applyFill="1" applyBorder="1" applyAlignment="1">
      <alignment horizontal="center"/>
    </xf>
    <xf numFmtId="0" fontId="0" fillId="0" borderId="10" xfId="0" applyBorder="1"/>
    <xf numFmtId="0" fontId="0" fillId="7" borderId="4" xfId="0" applyFill="1" applyBorder="1" applyAlignment="1">
      <alignment horizontal="right"/>
    </xf>
    <xf numFmtId="0" fontId="4" fillId="7" borderId="4" xfId="0" applyFont="1" applyFill="1" applyBorder="1"/>
    <xf numFmtId="0" fontId="4" fillId="7" borderId="4" xfId="0" applyFont="1" applyFill="1" applyBorder="1" applyAlignment="1">
      <alignment horizontal="left"/>
    </xf>
    <xf numFmtId="0" fontId="8" fillId="0" borderId="29" xfId="0" applyFont="1" applyBorder="1" applyAlignment="1">
      <alignment vertical="center" wrapText="1"/>
    </xf>
    <xf numFmtId="0" fontId="7" fillId="0" borderId="30" xfId="0" applyFont="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30" xfId="0" applyFont="1" applyBorder="1" applyAlignment="1">
      <alignment horizontal="justify" vertical="center" wrapText="1"/>
    </xf>
    <xf numFmtId="0" fontId="7" fillId="0" borderId="31" xfId="0" applyFont="1" applyBorder="1" applyAlignment="1">
      <alignment horizontal="justify" vertical="center" wrapText="1"/>
    </xf>
    <xf numFmtId="0" fontId="8" fillId="0" borderId="32" xfId="0" applyFont="1" applyBorder="1" applyAlignment="1">
      <alignment vertical="center" wrapText="1"/>
    </xf>
    <xf numFmtId="0" fontId="9" fillId="0" borderId="30" xfId="0" applyFont="1" applyBorder="1" applyAlignment="1">
      <alignment vertical="center" wrapText="1"/>
    </xf>
    <xf numFmtId="0" fontId="8" fillId="0" borderId="31"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9" fillId="0" borderId="31" xfId="0" applyFont="1" applyBorder="1" applyAlignment="1">
      <alignment vertical="center" wrapText="1"/>
    </xf>
    <xf numFmtId="0" fontId="11" fillId="0" borderId="0" xfId="0" applyFont="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xf>
    <xf numFmtId="0" fontId="13" fillId="0" borderId="27" xfId="0" applyFont="1" applyBorder="1" applyAlignment="1">
      <alignment horizontal="justify" vertical="center" wrapText="1"/>
    </xf>
    <xf numFmtId="0" fontId="13" fillId="0" borderId="18" xfId="0" applyFont="1" applyBorder="1" applyAlignment="1">
      <alignment horizontal="justify" vertical="center" wrapText="1"/>
    </xf>
    <xf numFmtId="0" fontId="12" fillId="0" borderId="33" xfId="0" applyFont="1" applyBorder="1" applyAlignment="1">
      <alignment horizontal="justify" vertical="center" wrapText="1"/>
    </xf>
    <xf numFmtId="0" fontId="12" fillId="0" borderId="25" xfId="0" applyFont="1" applyBorder="1" applyAlignment="1">
      <alignment horizontal="justify" vertical="center" wrapText="1"/>
    </xf>
    <xf numFmtId="0" fontId="14" fillId="0" borderId="0" xfId="0" applyFont="1" applyAlignment="1">
      <alignment horizontal="justify" vertical="center"/>
    </xf>
    <xf numFmtId="0" fontId="16" fillId="0" borderId="0" xfId="0" applyFont="1" applyAlignment="1">
      <alignment horizontal="justify" vertical="center"/>
    </xf>
    <xf numFmtId="0" fontId="0" fillId="7" borderId="1" xfId="0" applyFill="1" applyBorder="1" applyAlignment="1">
      <alignment horizontal="right"/>
    </xf>
    <xf numFmtId="0" fontId="3" fillId="0" borderId="4" xfId="0" applyFont="1" applyBorder="1"/>
    <xf numFmtId="0" fontId="5" fillId="0" borderId="0" xfId="0" applyFont="1" applyAlignment="1">
      <alignment horizontal="right"/>
    </xf>
    <xf numFmtId="0" fontId="17" fillId="10" borderId="0" xfId="0" applyFont="1" applyFill="1"/>
    <xf numFmtId="0" fontId="21" fillId="2" borderId="0" xfId="0" applyFont="1" applyFill="1"/>
    <xf numFmtId="0" fontId="22" fillId="2" borderId="0" xfId="0" applyFont="1" applyFill="1"/>
    <xf numFmtId="2" fontId="22" fillId="2" borderId="0" xfId="0" applyNumberFormat="1" applyFont="1" applyFill="1"/>
    <xf numFmtId="0" fontId="17" fillId="2" borderId="0" xfId="0" applyFont="1" applyFill="1"/>
    <xf numFmtId="0" fontId="22" fillId="0" borderId="4" xfId="0" applyFont="1" applyBorder="1" applyAlignment="1">
      <alignment horizontal="center" vertical="center" wrapText="1"/>
    </xf>
    <xf numFmtId="2" fontId="22" fillId="0" borderId="4" xfId="0" applyNumberFormat="1" applyFont="1" applyBorder="1" applyAlignment="1">
      <alignment horizontal="center" vertical="center" wrapText="1"/>
    </xf>
    <xf numFmtId="0" fontId="22" fillId="2" borderId="0" xfId="0" applyFont="1" applyFill="1" applyAlignment="1">
      <alignment horizontal="center" vertical="center" wrapText="1"/>
    </xf>
    <xf numFmtId="0" fontId="17" fillId="2" borderId="0" xfId="0" applyFont="1" applyFill="1" applyAlignment="1">
      <alignment horizontal="center" vertical="center" wrapText="1"/>
    </xf>
    <xf numFmtId="14" fontId="22" fillId="10" borderId="4" xfId="0" applyNumberFormat="1" applyFont="1" applyFill="1" applyBorder="1" applyAlignment="1">
      <alignment horizontal="center"/>
    </xf>
    <xf numFmtId="1" fontId="22" fillId="0" borderId="4" xfId="0" applyNumberFormat="1" applyFont="1" applyBorder="1" applyAlignment="1">
      <alignment horizontal="center"/>
    </xf>
    <xf numFmtId="2" fontId="22" fillId="0" borderId="4" xfId="0" applyNumberFormat="1" applyFont="1" applyBorder="1" applyAlignment="1">
      <alignment horizontal="center"/>
    </xf>
    <xf numFmtId="2" fontId="22" fillId="10" borderId="4" xfId="0" applyNumberFormat="1" applyFont="1" applyFill="1" applyBorder="1" applyAlignment="1">
      <alignment horizontal="center"/>
    </xf>
    <xf numFmtId="1" fontId="22" fillId="11" borderId="4" xfId="0" applyNumberFormat="1" applyFont="1" applyFill="1" applyBorder="1" applyAlignment="1">
      <alignment horizontal="center"/>
    </xf>
    <xf numFmtId="10" fontId="22" fillId="2" borderId="0" xfId="3" applyNumberFormat="1" applyFont="1" applyFill="1" applyAlignment="1">
      <alignment horizontal="center"/>
    </xf>
    <xf numFmtId="0" fontId="17" fillId="2" borderId="0" xfId="0" applyFont="1" applyFill="1" applyAlignment="1">
      <alignment horizontal="center"/>
    </xf>
    <xf numFmtId="0" fontId="23" fillId="2" borderId="0" xfId="0" applyFont="1" applyFill="1"/>
    <xf numFmtId="0" fontId="18" fillId="2" borderId="0" xfId="0" applyFont="1" applyFill="1"/>
    <xf numFmtId="0" fontId="24" fillId="2" borderId="0" xfId="0" applyFont="1" applyFill="1"/>
    <xf numFmtId="2" fontId="18" fillId="2" borderId="0" xfId="0" applyNumberFormat="1" applyFont="1" applyFill="1"/>
    <xf numFmtId="2" fontId="23" fillId="2" borderId="0" xfId="0" applyNumberFormat="1" applyFont="1" applyFill="1"/>
    <xf numFmtId="0" fontId="25" fillId="2" borderId="0" xfId="0" applyFont="1" applyFill="1"/>
    <xf numFmtId="2" fontId="25" fillId="2" borderId="0" xfId="0" applyNumberFormat="1" applyFont="1" applyFill="1"/>
    <xf numFmtId="0" fontId="26" fillId="2" borderId="0" xfId="0" applyFont="1" applyFill="1"/>
    <xf numFmtId="0" fontId="27" fillId="2" borderId="0" xfId="0" applyFont="1" applyFill="1"/>
    <xf numFmtId="0" fontId="28" fillId="2" borderId="0" xfId="0" applyFont="1" applyFill="1"/>
    <xf numFmtId="0" fontId="17" fillId="0" borderId="0" xfId="0" applyFont="1"/>
    <xf numFmtId="0" fontId="29" fillId="2" borderId="0" xfId="0" applyFont="1" applyFill="1"/>
    <xf numFmtId="10" fontId="25" fillId="2" borderId="0" xfId="3" applyNumberFormat="1" applyFont="1" applyFill="1"/>
    <xf numFmtId="10" fontId="23" fillId="2" borderId="0" xfId="3" applyNumberFormat="1" applyFont="1" applyFill="1"/>
    <xf numFmtId="170" fontId="22" fillId="0" borderId="0" xfId="0" applyNumberFormat="1" applyFont="1"/>
    <xf numFmtId="1" fontId="22" fillId="0" borderId="0" xfId="0" applyNumberFormat="1" applyFont="1"/>
    <xf numFmtId="0" fontId="22" fillId="0" borderId="0" xfId="0" applyFont="1"/>
    <xf numFmtId="0" fontId="22" fillId="10" borderId="4" xfId="0" applyFont="1" applyFill="1" applyBorder="1" applyAlignment="1">
      <alignment horizontal="center"/>
    </xf>
    <xf numFmtId="1" fontId="22" fillId="10" borderId="4" xfId="0" applyNumberFormat="1" applyFont="1" applyFill="1" applyBorder="1" applyAlignment="1">
      <alignment horizontal="center"/>
    </xf>
    <xf numFmtId="170" fontId="22" fillId="2" borderId="0" xfId="0" applyNumberFormat="1" applyFont="1" applyFill="1"/>
    <xf numFmtId="1" fontId="22" fillId="2" borderId="0" xfId="0" applyNumberFormat="1" applyFont="1" applyFill="1"/>
    <xf numFmtId="168" fontId="22" fillId="0" borderId="4" xfId="0" applyNumberFormat="1" applyFont="1" applyBorder="1" applyAlignment="1">
      <alignment horizontal="center"/>
    </xf>
    <xf numFmtId="2" fontId="0" fillId="2" borderId="0" xfId="0" applyNumberFormat="1" applyFill="1"/>
    <xf numFmtId="0" fontId="29" fillId="0" borderId="0" xfId="0" applyFont="1"/>
    <xf numFmtId="2" fontId="0" fillId="0" borderId="0" xfId="0" applyNumberFormat="1"/>
    <xf numFmtId="0" fontId="28" fillId="0" borderId="0" xfId="0" applyFont="1"/>
    <xf numFmtId="0" fontId="30" fillId="7" borderId="0" xfId="0" applyFont="1" applyFill="1"/>
    <xf numFmtId="0" fontId="31" fillId="7" borderId="53" xfId="0" applyFont="1" applyFill="1" applyBorder="1" applyAlignment="1" applyProtection="1">
      <alignment wrapText="1"/>
      <protection hidden="1"/>
    </xf>
    <xf numFmtId="0" fontId="30" fillId="2" borderId="0" xfId="0" applyFont="1" applyFill="1"/>
    <xf numFmtId="0" fontId="30" fillId="0" borderId="0" xfId="0" applyFont="1"/>
    <xf numFmtId="0" fontId="32" fillId="7" borderId="0" xfId="0" applyFont="1" applyFill="1" applyAlignment="1">
      <alignment horizontal="center"/>
    </xf>
    <xf numFmtId="1" fontId="32" fillId="7" borderId="0" xfId="0" applyNumberFormat="1" applyFont="1" applyFill="1" applyAlignment="1">
      <alignment horizontal="center"/>
    </xf>
    <xf numFmtId="168" fontId="33" fillId="7" borderId="0" xfId="0" applyNumberFormat="1" applyFont="1" applyFill="1" applyAlignment="1">
      <alignment horizontal="center"/>
    </xf>
    <xf numFmtId="0" fontId="33" fillId="7" borderId="0" xfId="0" applyFont="1" applyFill="1" applyAlignment="1">
      <alignment horizontal="center"/>
    </xf>
    <xf numFmtId="1" fontId="33" fillId="7" borderId="0" xfId="0" applyNumberFormat="1" applyFont="1" applyFill="1" applyAlignment="1">
      <alignment horizontal="center"/>
    </xf>
    <xf numFmtId="0" fontId="34" fillId="7" borderId="0" xfId="0" applyFont="1" applyFill="1" applyAlignment="1" applyProtection="1">
      <alignment horizontal="center" vertical="center"/>
      <protection hidden="1"/>
    </xf>
    <xf numFmtId="0" fontId="34" fillId="2" borderId="0" xfId="0" applyFont="1" applyFill="1" applyAlignment="1" applyProtection="1">
      <alignment horizontal="center" vertical="center"/>
      <protection hidden="1"/>
    </xf>
    <xf numFmtId="0" fontId="35" fillId="7" borderId="0" xfId="0" applyFont="1" applyFill="1" applyAlignment="1">
      <alignment horizontal="left"/>
    </xf>
    <xf numFmtId="0" fontId="30" fillId="0" borderId="64" xfId="0" applyFont="1" applyBorder="1"/>
    <xf numFmtId="0" fontId="30" fillId="7" borderId="0" xfId="0" applyFont="1" applyFill="1" applyProtection="1">
      <protection hidden="1"/>
    </xf>
    <xf numFmtId="0" fontId="37" fillId="7" borderId="0" xfId="0" applyFont="1" applyFill="1" applyProtection="1">
      <protection hidden="1"/>
    </xf>
    <xf numFmtId="0" fontId="37" fillId="7" borderId="4" xfId="0" applyFont="1" applyFill="1" applyBorder="1" applyProtection="1">
      <protection hidden="1"/>
    </xf>
    <xf numFmtId="0" fontId="37" fillId="7" borderId="5" xfId="0" applyFont="1" applyFill="1" applyBorder="1"/>
    <xf numFmtId="0" fontId="37" fillId="7" borderId="4" xfId="0" applyFont="1" applyFill="1" applyBorder="1" applyAlignment="1">
      <alignment horizontal="left" shrinkToFit="1"/>
    </xf>
    <xf numFmtId="0" fontId="38" fillId="2" borderId="0" xfId="0" applyFont="1" applyFill="1" applyAlignment="1" applyProtection="1">
      <alignment horizontal="center" vertical="center"/>
      <protection hidden="1"/>
    </xf>
    <xf numFmtId="0" fontId="39" fillId="7" borderId="0" xfId="0" applyFont="1" applyFill="1" applyAlignment="1">
      <alignment horizontal="left"/>
    </xf>
    <xf numFmtId="0" fontId="30" fillId="2" borderId="0" xfId="0" applyFont="1" applyFill="1" applyAlignment="1" applyProtection="1">
      <alignment horizontal="center" vertical="center"/>
      <protection hidden="1"/>
    </xf>
    <xf numFmtId="2" fontId="42" fillId="2" borderId="0" xfId="0" applyNumberFormat="1" applyFont="1" applyFill="1" applyAlignment="1" applyProtection="1">
      <alignment vertical="center" wrapText="1"/>
      <protection hidden="1"/>
    </xf>
    <xf numFmtId="2" fontId="38" fillId="2" borderId="0" xfId="0" applyNumberFormat="1" applyFont="1" applyFill="1" applyAlignment="1" applyProtection="1">
      <alignment horizontal="center" vertical="center"/>
      <protection hidden="1"/>
    </xf>
    <xf numFmtId="2" fontId="46" fillId="7" borderId="0" xfId="0" applyNumberFormat="1" applyFont="1" applyFill="1" applyAlignment="1">
      <alignment shrinkToFit="1"/>
    </xf>
    <xf numFmtId="167" fontId="46" fillId="7" borderId="0" xfId="0" applyNumberFormat="1" applyFont="1" applyFill="1"/>
    <xf numFmtId="4" fontId="38" fillId="2" borderId="4" xfId="0" applyNumberFormat="1" applyFont="1" applyFill="1" applyBorder="1" applyAlignment="1" applyProtection="1">
      <alignment horizontal="left" vertical="center"/>
      <protection locked="0" hidden="1"/>
    </xf>
    <xf numFmtId="2" fontId="47" fillId="7" borderId="0" xfId="0" applyNumberFormat="1" applyFont="1" applyFill="1" applyProtection="1">
      <protection hidden="1"/>
    </xf>
    <xf numFmtId="0" fontId="46" fillId="7" borderId="0" xfId="0" applyFont="1" applyFill="1"/>
    <xf numFmtId="0" fontId="47" fillId="7" borderId="0" xfId="0" applyFont="1" applyFill="1" applyProtection="1">
      <protection hidden="1"/>
    </xf>
    <xf numFmtId="3" fontId="38" fillId="7" borderId="0" xfId="0" applyNumberFormat="1" applyFont="1" applyFill="1" applyAlignment="1" applyProtection="1">
      <alignment horizontal="left"/>
      <protection locked="0" hidden="1"/>
    </xf>
    <xf numFmtId="0" fontId="36" fillId="7" borderId="15" xfId="0" applyFont="1" applyFill="1" applyBorder="1" applyProtection="1">
      <protection hidden="1"/>
    </xf>
    <xf numFmtId="2" fontId="36" fillId="7" borderId="0" xfId="0" applyNumberFormat="1" applyFont="1" applyFill="1" applyAlignment="1" applyProtection="1">
      <alignment horizontal="right"/>
      <protection hidden="1"/>
    </xf>
    <xf numFmtId="1" fontId="47" fillId="2" borderId="4" xfId="0" applyNumberFormat="1" applyFont="1" applyFill="1" applyBorder="1" applyAlignment="1" applyProtection="1">
      <alignment horizontal="center"/>
      <protection hidden="1"/>
    </xf>
    <xf numFmtId="1" fontId="47" fillId="2" borderId="4" xfId="0" applyNumberFormat="1" applyFont="1" applyFill="1" applyBorder="1" applyAlignment="1">
      <alignment horizontal="center" shrinkToFit="1"/>
    </xf>
    <xf numFmtId="0" fontId="49" fillId="7" borderId="0" xfId="0" applyFont="1" applyFill="1"/>
    <xf numFmtId="165" fontId="49" fillId="7" borderId="0" xfId="1" applyNumberFormat="1" applyFont="1" applyFill="1" applyAlignment="1">
      <alignment horizontal="right"/>
    </xf>
    <xf numFmtId="165" fontId="45" fillId="7" borderId="0" xfId="0" applyNumberFormat="1" applyFont="1" applyFill="1"/>
    <xf numFmtId="0" fontId="47" fillId="7" borderId="0" xfId="0" applyFont="1" applyFill="1"/>
    <xf numFmtId="0" fontId="49" fillId="7" borderId="0" xfId="0" applyFont="1" applyFill="1" applyAlignment="1">
      <alignment horizontal="right"/>
    </xf>
    <xf numFmtId="0" fontId="50" fillId="7" borderId="35" xfId="0" applyFont="1" applyFill="1" applyBorder="1" applyAlignment="1">
      <alignment vertical="center"/>
    </xf>
    <xf numFmtId="0" fontId="51" fillId="7" borderId="0" xfId="0" applyFont="1" applyFill="1" applyAlignment="1">
      <alignment vertical="center"/>
    </xf>
    <xf numFmtId="0" fontId="52" fillId="7" borderId="0" xfId="2" applyFont="1" applyFill="1" applyAlignment="1">
      <alignment vertical="center" shrinkToFit="1"/>
    </xf>
    <xf numFmtId="1" fontId="52" fillId="7" borderId="0" xfId="2" applyNumberFormat="1" applyFont="1" applyFill="1" applyAlignment="1">
      <alignment horizontal="center" vertical="center" shrinkToFit="1"/>
    </xf>
    <xf numFmtId="1" fontId="37" fillId="7" borderId="6" xfId="0" applyNumberFormat="1" applyFont="1" applyFill="1" applyBorder="1" applyAlignment="1">
      <alignment vertical="center"/>
    </xf>
    <xf numFmtId="1" fontId="37" fillId="7" borderId="0" xfId="0" applyNumberFormat="1" applyFont="1" applyFill="1"/>
    <xf numFmtId="1" fontId="46" fillId="7" borderId="0" xfId="0" applyNumberFormat="1" applyFont="1" applyFill="1"/>
    <xf numFmtId="1" fontId="46" fillId="7" borderId="0" xfId="0" applyNumberFormat="1" applyFont="1" applyFill="1" applyAlignment="1">
      <alignment horizontal="center"/>
    </xf>
    <xf numFmtId="0" fontId="53" fillId="7" borderId="54" xfId="0" applyFont="1" applyFill="1" applyBorder="1"/>
    <xf numFmtId="5" fontId="38" fillId="7" borderId="0" xfId="0" applyNumberFormat="1" applyFont="1" applyFill="1"/>
    <xf numFmtId="1" fontId="47" fillId="7" borderId="0" xfId="0" applyNumberFormat="1" applyFont="1" applyFill="1" applyAlignment="1">
      <alignment horizontal="center"/>
    </xf>
    <xf numFmtId="0" fontId="50" fillId="7" borderId="15" xfId="0" applyFont="1" applyFill="1" applyBorder="1"/>
    <xf numFmtId="0" fontId="51" fillId="7" borderId="15" xfId="0" applyFont="1" applyFill="1" applyBorder="1"/>
    <xf numFmtId="0" fontId="50" fillId="7" borderId="0" xfId="0" applyFont="1" applyFill="1"/>
    <xf numFmtId="1" fontId="47" fillId="7" borderId="0" xfId="0" applyNumberFormat="1" applyFont="1" applyFill="1"/>
    <xf numFmtId="5" fontId="37" fillId="7" borderId="6" xfId="0" applyNumberFormat="1" applyFont="1" applyFill="1" applyBorder="1" applyAlignment="1">
      <alignment horizontal="center"/>
    </xf>
    <xf numFmtId="0" fontId="36" fillId="7" borderId="0" xfId="0" applyFont="1" applyFill="1"/>
    <xf numFmtId="165" fontId="36" fillId="7" borderId="0" xfId="0" applyNumberFormat="1" applyFont="1" applyFill="1" applyAlignment="1">
      <alignment horizontal="right"/>
    </xf>
    <xf numFmtId="5" fontId="37" fillId="7" borderId="0" xfId="0" applyNumberFormat="1" applyFont="1" applyFill="1" applyAlignment="1">
      <alignment horizontal="center"/>
    </xf>
    <xf numFmtId="0" fontId="51" fillId="7" borderId="6" xfId="0" applyFont="1" applyFill="1" applyBorder="1" applyAlignment="1">
      <alignment horizontal="left" vertical="center"/>
    </xf>
    <xf numFmtId="0" fontId="54" fillId="7" borderId="15" xfId="0" applyFont="1" applyFill="1" applyBorder="1" applyAlignment="1">
      <alignment horizontal="left" vertical="center"/>
    </xf>
    <xf numFmtId="0" fontId="54" fillId="7" borderId="0" xfId="0" applyFont="1" applyFill="1" applyAlignment="1">
      <alignment horizontal="left" vertical="center"/>
    </xf>
    <xf numFmtId="0" fontId="50" fillId="7" borderId="6" xfId="0" applyFont="1" applyFill="1" applyBorder="1" applyAlignment="1">
      <alignment horizontal="left" vertical="center"/>
    </xf>
    <xf numFmtId="0" fontId="55" fillId="7" borderId="4" xfId="0" applyFont="1" applyFill="1" applyBorder="1" applyAlignment="1">
      <alignment horizontal="center"/>
    </xf>
    <xf numFmtId="0" fontId="55" fillId="7" borderId="5" xfId="0" applyFont="1" applyFill="1" applyBorder="1" applyAlignment="1">
      <alignment horizontal="center"/>
    </xf>
    <xf numFmtId="0" fontId="55" fillId="7" borderId="4" xfId="0" applyFont="1" applyFill="1" applyBorder="1"/>
    <xf numFmtId="0" fontId="56" fillId="7" borderId="0" xfId="0" applyFont="1" applyFill="1" applyAlignment="1">
      <alignment horizontal="right"/>
    </xf>
    <xf numFmtId="0" fontId="56" fillId="7" borderId="0" xfId="0" applyFont="1" applyFill="1"/>
    <xf numFmtId="0" fontId="36" fillId="12" borderId="0" xfId="0" applyFont="1" applyFill="1"/>
    <xf numFmtId="165" fontId="36" fillId="12" borderId="0" xfId="0" applyNumberFormat="1" applyFont="1" applyFill="1" applyAlignment="1">
      <alignment horizontal="right"/>
    </xf>
    <xf numFmtId="0" fontId="53" fillId="7" borderId="0" xfId="0" applyFont="1" applyFill="1"/>
    <xf numFmtId="165" fontId="38" fillId="7" borderId="0" xfId="0" applyNumberFormat="1" applyFont="1" applyFill="1" applyAlignment="1">
      <alignment horizontal="right"/>
    </xf>
    <xf numFmtId="5" fontId="38" fillId="7" borderId="0" xfId="0" applyNumberFormat="1" applyFont="1" applyFill="1" applyAlignment="1">
      <alignment horizontal="center"/>
    </xf>
    <xf numFmtId="1" fontId="56" fillId="7" borderId="0" xfId="0" applyNumberFormat="1" applyFont="1" applyFill="1"/>
    <xf numFmtId="1" fontId="56" fillId="7" borderId="0" xfId="0" applyNumberFormat="1" applyFont="1" applyFill="1" applyAlignment="1">
      <alignment horizontal="center"/>
    </xf>
    <xf numFmtId="0" fontId="53" fillId="7" borderId="11" xfId="0" applyFont="1" applyFill="1" applyBorder="1"/>
    <xf numFmtId="5" fontId="38" fillId="7" borderId="54" xfId="0" applyNumberFormat="1" applyFont="1" applyFill="1" applyBorder="1" applyAlignment="1">
      <alignment horizontal="left"/>
    </xf>
    <xf numFmtId="0" fontId="55" fillId="7" borderId="36" xfId="0" applyFont="1" applyFill="1" applyBorder="1"/>
    <xf numFmtId="5" fontId="55" fillId="7" borderId="26" xfId="0" applyNumberFormat="1" applyFont="1" applyFill="1" applyBorder="1" applyAlignment="1">
      <alignment horizontal="center"/>
    </xf>
    <xf numFmtId="0" fontId="55" fillId="7" borderId="37" xfId="0" applyFont="1" applyFill="1" applyBorder="1" applyAlignment="1">
      <alignment horizontal="center" vertical="center"/>
    </xf>
    <xf numFmtId="1" fontId="57" fillId="7" borderId="0" xfId="0" applyNumberFormat="1" applyFont="1" applyFill="1"/>
    <xf numFmtId="1" fontId="57" fillId="7" borderId="0" xfId="0" applyNumberFormat="1" applyFont="1" applyFill="1" applyAlignment="1">
      <alignment horizontal="center"/>
    </xf>
    <xf numFmtId="0" fontId="57" fillId="7" borderId="0" xfId="0" applyFont="1" applyFill="1"/>
    <xf numFmtId="0" fontId="58" fillId="7" borderId="0" xfId="0" applyFont="1" applyFill="1"/>
    <xf numFmtId="0" fontId="59" fillId="7" borderId="0" xfId="0" applyFont="1" applyFill="1"/>
    <xf numFmtId="1" fontId="59" fillId="7" borderId="0" xfId="0" applyNumberFormat="1" applyFont="1" applyFill="1"/>
    <xf numFmtId="0" fontId="55" fillId="7" borderId="17" xfId="0" applyFont="1" applyFill="1" applyBorder="1"/>
    <xf numFmtId="169" fontId="55" fillId="7" borderId="26" xfId="0" applyNumberFormat="1" applyFont="1" applyFill="1" applyBorder="1" applyAlignment="1">
      <alignment horizontal="center"/>
    </xf>
    <xf numFmtId="0" fontId="60" fillId="7" borderId="0" xfId="2" applyFont="1" applyFill="1"/>
    <xf numFmtId="0" fontId="60" fillId="2" borderId="0" xfId="2" applyFont="1" applyFill="1"/>
    <xf numFmtId="0" fontId="61" fillId="7" borderId="0" xfId="0" applyFont="1" applyFill="1"/>
    <xf numFmtId="0" fontId="62" fillId="7" borderId="0" xfId="2" applyFont="1" applyFill="1"/>
    <xf numFmtId="0" fontId="63" fillId="7" borderId="0" xfId="0" applyFont="1" applyFill="1"/>
    <xf numFmtId="165" fontId="64" fillId="7" borderId="0" xfId="0" applyNumberFormat="1" applyFont="1" applyFill="1"/>
    <xf numFmtId="9" fontId="64" fillId="7" borderId="0" xfId="0" applyNumberFormat="1" applyFont="1" applyFill="1" applyAlignment="1">
      <alignment horizontal="right"/>
    </xf>
    <xf numFmtId="0" fontId="65" fillId="7" borderId="0" xfId="0" applyFont="1" applyFill="1"/>
    <xf numFmtId="0" fontId="66" fillId="7" borderId="0" xfId="0" applyFont="1" applyFill="1"/>
    <xf numFmtId="0" fontId="52" fillId="7" borderId="0" xfId="2" applyFont="1" applyFill="1"/>
    <xf numFmtId="0" fontId="52" fillId="7" borderId="0" xfId="2" applyFont="1" applyFill="1" applyAlignment="1">
      <alignment vertical="center"/>
    </xf>
    <xf numFmtId="0" fontId="38" fillId="7" borderId="0" xfId="0" applyFont="1" applyFill="1"/>
    <xf numFmtId="165" fontId="49" fillId="7" borderId="0" xfId="0" applyNumberFormat="1" applyFont="1" applyFill="1"/>
    <xf numFmtId="166" fontId="49" fillId="7" borderId="0" xfId="0" applyNumberFormat="1" applyFont="1" applyFill="1" applyAlignment="1">
      <alignment horizontal="right"/>
    </xf>
    <xf numFmtId="0" fontId="65" fillId="7" borderId="0" xfId="2" applyFont="1" applyFill="1"/>
    <xf numFmtId="0" fontId="67" fillId="7" borderId="0" xfId="2" applyFont="1" applyFill="1"/>
    <xf numFmtId="0" fontId="68" fillId="7" borderId="0" xfId="2" applyFont="1" applyFill="1"/>
    <xf numFmtId="0" fontId="69" fillId="5" borderId="15" xfId="2" applyFont="1" applyFill="1" applyBorder="1" applyAlignment="1">
      <alignment horizontal="center" vertical="center" wrapText="1"/>
    </xf>
    <xf numFmtId="0" fontId="53" fillId="5" borderId="9" xfId="0" applyFont="1" applyFill="1" applyBorder="1" applyAlignment="1">
      <alignment horizontal="left"/>
    </xf>
    <xf numFmtId="1" fontId="49" fillId="7" borderId="0" xfId="0" applyNumberFormat="1" applyFont="1" applyFill="1"/>
    <xf numFmtId="1" fontId="70" fillId="7" borderId="0" xfId="0" applyNumberFormat="1" applyFont="1" applyFill="1" applyAlignment="1">
      <alignment horizontal="center" wrapText="1" shrinkToFit="1"/>
    </xf>
    <xf numFmtId="0" fontId="53" fillId="5" borderId="0" xfId="0" applyFont="1" applyFill="1"/>
    <xf numFmtId="2" fontId="38" fillId="2" borderId="28" xfId="0" applyNumberFormat="1" applyFont="1" applyFill="1" applyBorder="1" applyAlignment="1">
      <alignment horizontal="left"/>
    </xf>
    <xf numFmtId="2" fontId="38" fillId="4" borderId="28" xfId="0" applyNumberFormat="1" applyFont="1" applyFill="1" applyBorder="1"/>
    <xf numFmtId="0" fontId="71" fillId="5" borderId="17" xfId="0" applyFont="1" applyFill="1" applyBorder="1"/>
    <xf numFmtId="2" fontId="38" fillId="5" borderId="38" xfId="0" applyNumberFormat="1" applyFont="1" applyFill="1" applyBorder="1" applyAlignment="1">
      <alignment horizontal="center"/>
    </xf>
    <xf numFmtId="2" fontId="38" fillId="5" borderId="37" xfId="0" applyNumberFormat="1" applyFont="1" applyFill="1" applyBorder="1" applyAlignment="1">
      <alignment horizontal="center"/>
    </xf>
    <xf numFmtId="0" fontId="53" fillId="5" borderId="9" xfId="0" applyFont="1" applyFill="1" applyBorder="1"/>
    <xf numFmtId="39" fontId="49" fillId="4" borderId="52" xfId="0" applyNumberFormat="1" applyFont="1" applyFill="1" applyBorder="1"/>
    <xf numFmtId="9" fontId="49" fillId="4" borderId="28" xfId="0" applyNumberFormat="1" applyFont="1" applyFill="1" applyBorder="1" applyAlignment="1">
      <alignment horizontal="right"/>
    </xf>
    <xf numFmtId="167" fontId="56" fillId="7" borderId="0" xfId="0" applyNumberFormat="1" applyFont="1" applyFill="1"/>
    <xf numFmtId="0" fontId="53" fillId="5" borderId="4" xfId="0" applyFont="1" applyFill="1" applyBorder="1"/>
    <xf numFmtId="39" fontId="49" fillId="4" borderId="50" xfId="0" applyNumberFormat="1" applyFont="1" applyFill="1" applyBorder="1"/>
    <xf numFmtId="0" fontId="53" fillId="5" borderId="5" xfId="0" applyFont="1" applyFill="1" applyBorder="1"/>
    <xf numFmtId="39" fontId="49" fillId="2" borderId="50" xfId="0" applyNumberFormat="1" applyFont="1" applyFill="1" applyBorder="1"/>
    <xf numFmtId="0" fontId="65" fillId="5" borderId="5" xfId="0" applyFont="1" applyFill="1" applyBorder="1"/>
    <xf numFmtId="39" fontId="49" fillId="4" borderId="28" xfId="0" applyNumberFormat="1" applyFont="1" applyFill="1" applyBorder="1" applyAlignment="1">
      <alignment horizontal="right"/>
    </xf>
    <xf numFmtId="9" fontId="49" fillId="4" borderId="40" xfId="0" applyNumberFormat="1" applyFont="1" applyFill="1" applyBorder="1" applyAlignment="1">
      <alignment horizontal="right"/>
    </xf>
    <xf numFmtId="0" fontId="56" fillId="7" borderId="0" xfId="0" applyFont="1" applyFill="1" applyAlignment="1">
      <alignment horizontal="center" vertical="center" wrapText="1"/>
    </xf>
    <xf numFmtId="0" fontId="72" fillId="5" borderId="17" xfId="0" applyFont="1" applyFill="1" applyBorder="1"/>
    <xf numFmtId="0" fontId="53" fillId="5" borderId="10" xfId="0" applyFont="1" applyFill="1" applyBorder="1"/>
    <xf numFmtId="169" fontId="73" fillId="4" borderId="39" xfId="0" applyNumberFormat="1" applyFont="1" applyFill="1" applyBorder="1" applyAlignment="1">
      <alignment horizontal="right"/>
    </xf>
    <xf numFmtId="9" fontId="73" fillId="4" borderId="39" xfId="0" applyNumberFormat="1" applyFont="1" applyFill="1" applyBorder="1" applyAlignment="1">
      <alignment horizontal="right"/>
    </xf>
    <xf numFmtId="169" fontId="73" fillId="2" borderId="50" xfId="0" applyNumberFormat="1" applyFont="1" applyFill="1" applyBorder="1"/>
    <xf numFmtId="9" fontId="73" fillId="4" borderId="28" xfId="0" applyNumberFormat="1" applyFont="1" applyFill="1" applyBorder="1" applyAlignment="1">
      <alignment horizontal="right"/>
    </xf>
    <xf numFmtId="0" fontId="53" fillId="5" borderId="1" xfId="0" applyFont="1" applyFill="1" applyBorder="1"/>
    <xf numFmtId="169" fontId="73" fillId="2" borderId="50" xfId="0" applyNumberFormat="1" applyFont="1" applyFill="1" applyBorder="1" applyAlignment="1">
      <alignment horizontal="right"/>
    </xf>
    <xf numFmtId="0" fontId="74" fillId="5" borderId="11" xfId="0" applyFont="1" applyFill="1" applyBorder="1"/>
    <xf numFmtId="0" fontId="65" fillId="5" borderId="44" xfId="0" applyFont="1" applyFill="1" applyBorder="1"/>
    <xf numFmtId="169" fontId="73" fillId="4" borderId="9" xfId="0" applyNumberFormat="1" applyFont="1" applyFill="1" applyBorder="1" applyAlignment="1">
      <alignment horizontal="right"/>
    </xf>
    <xf numFmtId="9" fontId="73" fillId="4" borderId="20" xfId="0" applyNumberFormat="1" applyFont="1" applyFill="1" applyBorder="1" applyAlignment="1">
      <alignment horizontal="right"/>
    </xf>
    <xf numFmtId="165" fontId="49" fillId="7" borderId="0" xfId="0" applyNumberFormat="1" applyFont="1" applyFill="1" applyAlignment="1">
      <alignment horizontal="right"/>
    </xf>
    <xf numFmtId="9" fontId="75" fillId="7" borderId="0" xfId="0" applyNumberFormat="1" applyFont="1" applyFill="1" applyAlignment="1">
      <alignment horizontal="right"/>
    </xf>
    <xf numFmtId="0" fontId="53" fillId="5" borderId="46" xfId="0" applyFont="1" applyFill="1" applyBorder="1"/>
    <xf numFmtId="39" fontId="37" fillId="5" borderId="45" xfId="0" applyNumberFormat="1" applyFont="1" applyFill="1" applyBorder="1"/>
    <xf numFmtId="9" fontId="37" fillId="5" borderId="45" xfId="0" applyNumberFormat="1" applyFont="1" applyFill="1" applyBorder="1" applyAlignment="1">
      <alignment horizontal="right"/>
    </xf>
    <xf numFmtId="0" fontId="76" fillId="7" borderId="0" xfId="0" applyFont="1" applyFill="1"/>
    <xf numFmtId="0" fontId="77" fillId="7" borderId="0" xfId="0" applyFont="1" applyFill="1"/>
    <xf numFmtId="9" fontId="49" fillId="7" borderId="0" xfId="0" applyNumberFormat="1" applyFont="1" applyFill="1" applyAlignment="1">
      <alignment horizontal="right"/>
    </xf>
    <xf numFmtId="0" fontId="60" fillId="7" borderId="0" xfId="2" applyFont="1" applyFill="1" applyAlignment="1">
      <alignment vertical="top"/>
    </xf>
    <xf numFmtId="0" fontId="74" fillId="9" borderId="23" xfId="0" applyFont="1" applyFill="1" applyBorder="1"/>
    <xf numFmtId="0" fontId="78" fillId="5" borderId="6" xfId="0" applyFont="1" applyFill="1" applyBorder="1"/>
    <xf numFmtId="0" fontId="56" fillId="7" borderId="0" xfId="0" applyFont="1" applyFill="1" applyAlignment="1">
      <alignment horizontal="center"/>
    </xf>
    <xf numFmtId="0" fontId="80" fillId="7" borderId="0" xfId="0" applyFont="1" applyFill="1" applyAlignment="1">
      <alignment horizontal="center"/>
    </xf>
    <xf numFmtId="0" fontId="41" fillId="12" borderId="4" xfId="0" applyFont="1" applyFill="1" applyBorder="1" applyAlignment="1" applyProtection="1">
      <alignment vertical="center"/>
      <protection hidden="1"/>
    </xf>
    <xf numFmtId="0" fontId="55" fillId="7" borderId="9" xfId="0" applyFont="1" applyFill="1" applyBorder="1" applyAlignment="1" applyProtection="1">
      <alignment vertical="center"/>
      <protection hidden="1"/>
    </xf>
    <xf numFmtId="0" fontId="55" fillId="7" borderId="9" xfId="0" applyFont="1" applyFill="1" applyBorder="1" applyAlignment="1">
      <alignment horizontal="center"/>
    </xf>
    <xf numFmtId="0" fontId="45" fillId="7" borderId="6" xfId="0" applyFont="1" applyFill="1" applyBorder="1"/>
    <xf numFmtId="0" fontId="46" fillId="7" borderId="6" xfId="0" applyFont="1" applyFill="1" applyBorder="1" applyAlignment="1">
      <alignment horizontal="center"/>
    </xf>
    <xf numFmtId="0" fontId="45" fillId="7" borderId="6" xfId="0" applyFont="1" applyFill="1" applyBorder="1" applyAlignment="1">
      <alignment horizontal="center"/>
    </xf>
    <xf numFmtId="166" fontId="81" fillId="7" borderId="0" xfId="0" applyNumberFormat="1" applyFont="1" applyFill="1"/>
    <xf numFmtId="1" fontId="56" fillId="7" borderId="0" xfId="0" applyNumberFormat="1" applyFont="1" applyFill="1" applyAlignment="1">
      <alignment vertical="center"/>
    </xf>
    <xf numFmtId="0" fontId="45" fillId="7" borderId="0" xfId="0" applyFont="1" applyFill="1" applyProtection="1">
      <protection hidden="1"/>
    </xf>
    <xf numFmtId="2" fontId="45" fillId="7" borderId="0" xfId="0" applyNumberFormat="1" applyFont="1" applyFill="1"/>
    <xf numFmtId="0" fontId="84" fillId="7" borderId="0" xfId="0" applyFont="1" applyFill="1"/>
    <xf numFmtId="0" fontId="45" fillId="7" borderId="0" xfId="0" applyFont="1" applyFill="1" applyAlignment="1" applyProtection="1">
      <alignment horizontal="center"/>
      <protection hidden="1"/>
    </xf>
    <xf numFmtId="0" fontId="85" fillId="7" borderId="0" xfId="0" applyFont="1" applyFill="1"/>
    <xf numFmtId="2" fontId="85" fillId="7" borderId="0" xfId="0" applyNumberFormat="1" applyFont="1" applyFill="1" applyAlignment="1">
      <alignment horizontal="right"/>
    </xf>
    <xf numFmtId="0" fontId="33" fillId="7" borderId="0" xfId="0" applyFont="1" applyFill="1"/>
    <xf numFmtId="0" fontId="46" fillId="7" borderId="0" xfId="0" applyFont="1" applyFill="1" applyAlignment="1">
      <alignment horizontal="left" shrinkToFit="1"/>
    </xf>
    <xf numFmtId="0" fontId="86" fillId="7" borderId="0" xfId="0" applyFont="1" applyFill="1" applyAlignment="1">
      <alignment horizontal="center"/>
    </xf>
    <xf numFmtId="0" fontId="83" fillId="7" borderId="0" xfId="0" applyFont="1" applyFill="1" applyProtection="1">
      <protection hidden="1"/>
    </xf>
    <xf numFmtId="0" fontId="45" fillId="7" borderId="0" xfId="0" applyFont="1" applyFill="1" applyAlignment="1" applyProtection="1">
      <alignment vertical="center"/>
      <protection hidden="1"/>
    </xf>
    <xf numFmtId="0" fontId="46" fillId="7" borderId="0" xfId="0" applyFont="1" applyFill="1" applyAlignment="1" applyProtection="1">
      <alignment vertical="center"/>
      <protection hidden="1"/>
    </xf>
    <xf numFmtId="167" fontId="87" fillId="7" borderId="0" xfId="0" applyNumberFormat="1" applyFont="1" applyFill="1"/>
    <xf numFmtId="167" fontId="87" fillId="7" borderId="0" xfId="0" applyNumberFormat="1" applyFont="1" applyFill="1" applyProtection="1">
      <protection hidden="1"/>
    </xf>
    <xf numFmtId="167" fontId="87" fillId="7" borderId="0" xfId="0" applyNumberFormat="1" applyFont="1" applyFill="1" applyAlignment="1" applyProtection="1">
      <alignment horizontal="right"/>
      <protection hidden="1"/>
    </xf>
    <xf numFmtId="5" fontId="45" fillId="7" borderId="6" xfId="0" applyNumberFormat="1" applyFont="1" applyFill="1" applyBorder="1"/>
    <xf numFmtId="167" fontId="87" fillId="7" borderId="0" xfId="0" applyNumberFormat="1" applyFont="1" applyFill="1" applyAlignment="1">
      <alignment shrinkToFit="1"/>
    </xf>
    <xf numFmtId="7" fontId="30" fillId="7" borderId="0" xfId="0" applyNumberFormat="1" applyFont="1" applyFill="1" applyProtection="1">
      <protection hidden="1"/>
    </xf>
    <xf numFmtId="1" fontId="45" fillId="7" borderId="6" xfId="0" applyNumberFormat="1" applyFont="1" applyFill="1" applyBorder="1" applyAlignment="1">
      <alignment vertical="center"/>
    </xf>
    <xf numFmtId="1" fontId="45" fillId="7" borderId="0" xfId="0" applyNumberFormat="1" applyFont="1" applyFill="1"/>
    <xf numFmtId="1" fontId="88" fillId="7" borderId="0" xfId="0" applyNumberFormat="1" applyFont="1" applyFill="1" applyAlignment="1">
      <alignment horizontal="center" wrapText="1" shrinkToFit="1"/>
    </xf>
    <xf numFmtId="2" fontId="45" fillId="7" borderId="6" xfId="0" applyNumberFormat="1" applyFont="1" applyFill="1" applyBorder="1" applyAlignment="1">
      <alignment vertical="center"/>
    </xf>
    <xf numFmtId="0" fontId="45" fillId="7" borderId="0" xfId="0" applyFont="1" applyFill="1"/>
    <xf numFmtId="0" fontId="49" fillId="7" borderId="6" xfId="0" applyFont="1" applyFill="1" applyBorder="1" applyAlignment="1" applyProtection="1">
      <alignment vertical="center" wrapText="1"/>
      <protection hidden="1"/>
    </xf>
    <xf numFmtId="0" fontId="84" fillId="7" borderId="6" xfId="0" applyFont="1" applyFill="1" applyBorder="1" applyAlignment="1">
      <alignment vertical="center" wrapText="1"/>
    </xf>
    <xf numFmtId="0" fontId="37" fillId="7" borderId="0" xfId="0" applyFont="1" applyFill="1" applyAlignment="1" applyProtection="1">
      <alignment horizontal="center"/>
      <protection hidden="1"/>
    </xf>
    <xf numFmtId="0" fontId="47" fillId="7" borderId="0" xfId="0" applyFont="1" applyFill="1" applyAlignment="1" applyProtection="1">
      <alignment vertical="center"/>
      <protection hidden="1"/>
    </xf>
    <xf numFmtId="0" fontId="37" fillId="7" borderId="0" xfId="0" applyFont="1" applyFill="1" applyAlignment="1" applyProtection="1">
      <alignment vertical="center"/>
      <protection hidden="1"/>
    </xf>
    <xf numFmtId="0" fontId="47" fillId="7" borderId="0" xfId="0" applyFont="1" applyFill="1" applyAlignment="1">
      <alignment horizontal="left" shrinkToFit="1"/>
    </xf>
    <xf numFmtId="167" fontId="47" fillId="7" borderId="0" xfId="0" applyNumberFormat="1" applyFont="1" applyFill="1"/>
    <xf numFmtId="167" fontId="47" fillId="7" borderId="0" xfId="0" applyNumberFormat="1" applyFont="1" applyFill="1" applyAlignment="1">
      <alignment horizontal="left"/>
    </xf>
    <xf numFmtId="0" fontId="47" fillId="7" borderId="0" xfId="0" applyFont="1" applyFill="1" applyAlignment="1">
      <alignment horizontal="left"/>
    </xf>
    <xf numFmtId="167" fontId="45" fillId="7" borderId="9" xfId="0" applyNumberFormat="1" applyFont="1" applyFill="1" applyBorder="1" applyProtection="1">
      <protection hidden="1"/>
    </xf>
    <xf numFmtId="167" fontId="45" fillId="7" borderId="9" xfId="0" applyNumberFormat="1" applyFont="1" applyFill="1" applyBorder="1" applyAlignment="1">
      <alignment shrinkToFit="1"/>
    </xf>
    <xf numFmtId="167" fontId="45" fillId="7" borderId="4" xfId="0" applyNumberFormat="1" applyFont="1" applyFill="1" applyBorder="1" applyAlignment="1">
      <alignment shrinkToFit="1"/>
    </xf>
    <xf numFmtId="0" fontId="46" fillId="0" borderId="0" xfId="0" applyFont="1"/>
    <xf numFmtId="2" fontId="89" fillId="7" borderId="0" xfId="0" applyNumberFormat="1" applyFont="1" applyFill="1" applyAlignment="1">
      <alignment horizontal="left"/>
    </xf>
    <xf numFmtId="0" fontId="90" fillId="7" borderId="0" xfId="0" applyFont="1" applyFill="1" applyAlignment="1">
      <alignment horizontal="left"/>
    </xf>
    <xf numFmtId="168" fontId="91" fillId="7" borderId="0" xfId="0" applyNumberFormat="1" applyFont="1" applyFill="1" applyAlignment="1">
      <alignment horizontal="center"/>
    </xf>
    <xf numFmtId="0" fontId="40" fillId="7" borderId="0" xfId="0" applyFont="1" applyFill="1" applyAlignment="1">
      <alignment shrinkToFit="1"/>
    </xf>
    <xf numFmtId="0" fontId="45" fillId="7" borderId="0" xfId="0" applyFont="1" applyFill="1" applyAlignment="1">
      <alignment horizontal="left" shrinkToFit="1"/>
    </xf>
    <xf numFmtId="0" fontId="58" fillId="7" borderId="15" xfId="0" applyFont="1" applyFill="1" applyBorder="1"/>
    <xf numFmtId="0" fontId="48" fillId="12" borderId="0" xfId="0" applyFont="1" applyFill="1"/>
    <xf numFmtId="167" fontId="40" fillId="12" borderId="0" xfId="0" applyNumberFormat="1" applyFont="1" applyFill="1" applyAlignment="1" applyProtection="1">
      <alignment horizontal="right"/>
      <protection hidden="1"/>
    </xf>
    <xf numFmtId="167" fontId="40" fillId="12" borderId="0" xfId="0" applyNumberFormat="1" applyFont="1" applyFill="1" applyAlignment="1">
      <alignment horizontal="right"/>
    </xf>
    <xf numFmtId="167" fontId="40" fillId="12" borderId="0" xfId="0" applyNumberFormat="1" applyFont="1" applyFill="1" applyAlignment="1">
      <alignment shrinkToFit="1"/>
    </xf>
    <xf numFmtId="167" fontId="38" fillId="2" borderId="4" xfId="0" applyNumberFormat="1" applyFont="1" applyFill="1" applyBorder="1" applyAlignment="1" applyProtection="1">
      <alignment horizontal="right"/>
      <protection locked="0" hidden="1"/>
    </xf>
    <xf numFmtId="172" fontId="41" fillId="12" borderId="4" xfId="0" applyNumberFormat="1" applyFont="1" applyFill="1" applyBorder="1" applyAlignment="1">
      <alignment horizontal="right"/>
    </xf>
    <xf numFmtId="2" fontId="47" fillId="2" borderId="4" xfId="0" applyNumberFormat="1" applyFont="1" applyFill="1" applyBorder="1" applyAlignment="1" applyProtection="1">
      <alignment horizontal="center"/>
      <protection hidden="1"/>
    </xf>
    <xf numFmtId="2" fontId="38" fillId="2" borderId="4" xfId="0" applyNumberFormat="1" applyFont="1" applyFill="1" applyBorder="1" applyAlignment="1">
      <alignment horizontal="center" vertical="center"/>
    </xf>
    <xf numFmtId="167" fontId="38" fillId="0" borderId="4" xfId="0" applyNumberFormat="1" applyFont="1" applyBorder="1" applyAlignment="1">
      <alignment horizontal="right" vertical="center"/>
    </xf>
    <xf numFmtId="1" fontId="92" fillId="7" borderId="0" xfId="0" applyNumberFormat="1" applyFont="1" applyFill="1" applyAlignment="1">
      <alignment horizontal="left" vertical="top"/>
    </xf>
    <xf numFmtId="0" fontId="92" fillId="7" borderId="0" xfId="0" applyFont="1" applyFill="1" applyAlignment="1">
      <alignment horizontal="left" vertical="top"/>
    </xf>
    <xf numFmtId="0" fontId="38" fillId="2" borderId="4" xfId="0" applyFont="1" applyFill="1" applyBorder="1" applyAlignment="1" applyProtection="1">
      <alignment horizontal="center"/>
      <protection hidden="1"/>
    </xf>
    <xf numFmtId="0" fontId="45" fillId="7" borderId="4" xfId="0" applyFont="1" applyFill="1" applyBorder="1" applyAlignment="1" applyProtection="1">
      <alignment horizontal="center"/>
      <protection hidden="1"/>
    </xf>
    <xf numFmtId="0" fontId="45" fillId="7" borderId="4" xfId="0" applyFont="1" applyFill="1" applyBorder="1" applyAlignment="1">
      <alignment horizontal="center" vertical="center"/>
    </xf>
    <xf numFmtId="1" fontId="38" fillId="2" borderId="4" xfId="0" applyNumberFormat="1" applyFont="1" applyFill="1" applyBorder="1" applyAlignment="1" applyProtection="1">
      <alignment horizontal="center"/>
      <protection hidden="1"/>
    </xf>
    <xf numFmtId="0" fontId="36" fillId="13" borderId="63" xfId="0" applyFont="1" applyFill="1" applyBorder="1" applyAlignment="1" applyProtection="1">
      <alignment horizontal="center" vertical="center"/>
      <protection hidden="1"/>
    </xf>
    <xf numFmtId="0" fontId="41" fillId="14" borderId="4" xfId="0" applyFont="1" applyFill="1" applyBorder="1" applyProtection="1">
      <protection hidden="1"/>
    </xf>
    <xf numFmtId="0" fontId="43" fillId="14" borderId="4" xfId="0" applyFont="1" applyFill="1" applyBorder="1" applyProtection="1">
      <protection hidden="1"/>
    </xf>
    <xf numFmtId="0" fontId="44" fillId="14" borderId="4" xfId="0" applyFont="1" applyFill="1" applyBorder="1" applyProtection="1">
      <protection hidden="1"/>
    </xf>
    <xf numFmtId="0" fontId="46" fillId="14" borderId="4" xfId="0" applyFont="1" applyFill="1" applyBorder="1" applyAlignment="1">
      <alignment horizontal="left"/>
    </xf>
    <xf numFmtId="0" fontId="41" fillId="14" borderId="4" xfId="0" applyFont="1" applyFill="1" applyBorder="1" applyAlignment="1" applyProtection="1">
      <alignment shrinkToFit="1"/>
      <protection hidden="1"/>
    </xf>
    <xf numFmtId="0" fontId="41" fillId="14" borderId="4" xfId="0" applyFont="1" applyFill="1" applyBorder="1" applyAlignment="1" applyProtection="1">
      <alignment wrapText="1"/>
      <protection hidden="1"/>
    </xf>
    <xf numFmtId="0" fontId="41" fillId="14" borderId="0" xfId="0" applyFont="1" applyFill="1" applyAlignment="1">
      <alignment wrapText="1"/>
    </xf>
    <xf numFmtId="0" fontId="41" fillId="14" borderId="4" xfId="0" applyFont="1" applyFill="1" applyBorder="1" applyAlignment="1" applyProtection="1">
      <alignment horizontal="left"/>
      <protection hidden="1"/>
    </xf>
    <xf numFmtId="0" fontId="41" fillId="14" borderId="4" xfId="0" applyFont="1" applyFill="1" applyBorder="1" applyAlignment="1" applyProtection="1">
      <alignment horizontal="left" vertical="top"/>
      <protection hidden="1"/>
    </xf>
    <xf numFmtId="171" fontId="48" fillId="14" borderId="4" xfId="3" applyNumberFormat="1" applyFont="1" applyFill="1" applyBorder="1" applyAlignment="1" applyProtection="1">
      <alignment horizontal="center"/>
      <protection hidden="1"/>
    </xf>
    <xf numFmtId="0" fontId="41" fillId="14" borderId="2" xfId="0" applyFont="1" applyFill="1" applyBorder="1" applyProtection="1">
      <protection hidden="1"/>
    </xf>
    <xf numFmtId="0" fontId="41" fillId="14" borderId="3" xfId="0" applyFont="1" applyFill="1" applyBorder="1" applyProtection="1">
      <protection hidden="1"/>
    </xf>
    <xf numFmtId="0" fontId="41" fillId="14" borderId="4" xfId="0" applyFont="1" applyFill="1" applyBorder="1" applyAlignment="1">
      <alignment horizontal="left"/>
    </xf>
    <xf numFmtId="0" fontId="41" fillId="14" borderId="4" xfId="0" applyFont="1" applyFill="1" applyBorder="1"/>
    <xf numFmtId="5" fontId="41" fillId="14" borderId="10" xfId="0" applyNumberFormat="1" applyFont="1" applyFill="1" applyBorder="1" applyAlignment="1">
      <alignment horizontal="center"/>
    </xf>
    <xf numFmtId="0" fontId="40" fillId="14" borderId="4" xfId="0" applyFont="1" applyFill="1" applyBorder="1" applyProtection="1">
      <protection hidden="1"/>
    </xf>
    <xf numFmtId="167" fontId="40" fillId="14" borderId="4" xfId="0" applyNumberFormat="1" applyFont="1" applyFill="1" applyBorder="1" applyProtection="1">
      <protection hidden="1"/>
    </xf>
    <xf numFmtId="0" fontId="40" fillId="14" borderId="4" xfId="0" applyFont="1" applyFill="1" applyBorder="1"/>
    <xf numFmtId="0" fontId="40" fillId="14" borderId="4" xfId="0" applyFont="1" applyFill="1" applyBorder="1" applyAlignment="1">
      <alignment shrinkToFit="1"/>
    </xf>
    <xf numFmtId="167" fontId="40" fillId="14" borderId="4" xfId="0" applyNumberFormat="1" applyFont="1" applyFill="1" applyBorder="1"/>
    <xf numFmtId="167" fontId="40" fillId="14" borderId="4" xfId="0" applyNumberFormat="1" applyFont="1" applyFill="1" applyBorder="1" applyAlignment="1">
      <alignment shrinkToFit="1"/>
    </xf>
    <xf numFmtId="0" fontId="48" fillId="14" borderId="4" xfId="0" applyFont="1" applyFill="1" applyBorder="1"/>
    <xf numFmtId="167" fontId="40" fillId="14" borderId="4" xfId="0" applyNumberFormat="1" applyFont="1" applyFill="1" applyBorder="1" applyAlignment="1" applyProtection="1">
      <alignment horizontal="right"/>
      <protection hidden="1"/>
    </xf>
    <xf numFmtId="167" fontId="40" fillId="14" borderId="4" xfId="0" applyNumberFormat="1" applyFont="1" applyFill="1" applyBorder="1" applyAlignment="1">
      <alignment horizontal="right"/>
    </xf>
    <xf numFmtId="0" fontId="48" fillId="14" borderId="0" xfId="0" applyFont="1" applyFill="1"/>
    <xf numFmtId="167" fontId="40" fillId="14" borderId="0" xfId="0" applyNumberFormat="1" applyFont="1" applyFill="1" applyAlignment="1" applyProtection="1">
      <alignment horizontal="right"/>
      <protection hidden="1"/>
    </xf>
    <xf numFmtId="167" fontId="40" fillId="14" borderId="0" xfId="0" applyNumberFormat="1" applyFont="1" applyFill="1" applyAlignment="1">
      <alignment horizontal="right"/>
    </xf>
    <xf numFmtId="167" fontId="40" fillId="14" borderId="0" xfId="0" applyNumberFormat="1" applyFont="1" applyFill="1" applyAlignment="1">
      <alignment shrinkToFit="1"/>
    </xf>
    <xf numFmtId="0" fontId="41" fillId="14" borderId="4" xfId="0" applyFont="1" applyFill="1" applyBorder="1" applyAlignment="1" applyProtection="1">
      <alignment horizontal="left" vertical="center" wrapText="1"/>
      <protection hidden="1"/>
    </xf>
    <xf numFmtId="167" fontId="41" fillId="14" borderId="4" xfId="0" applyNumberFormat="1" applyFont="1" applyFill="1" applyBorder="1" applyAlignment="1" applyProtection="1">
      <alignment horizontal="right" vertical="center"/>
      <protection locked="0" hidden="1"/>
    </xf>
    <xf numFmtId="0" fontId="41" fillId="14" borderId="51" xfId="0" applyFont="1" applyFill="1" applyBorder="1" applyProtection="1">
      <protection hidden="1"/>
    </xf>
    <xf numFmtId="167" fontId="41" fillId="14" borderId="4" xfId="0" applyNumberFormat="1" applyFont="1" applyFill="1" applyBorder="1" applyAlignment="1" applyProtection="1">
      <alignment horizontal="right"/>
      <protection hidden="1"/>
    </xf>
    <xf numFmtId="0" fontId="48" fillId="14" borderId="4" xfId="0" applyFont="1" applyFill="1" applyBorder="1" applyAlignment="1">
      <alignment wrapText="1"/>
    </xf>
    <xf numFmtId="0" fontId="41" fillId="14" borderId="4" xfId="0" applyFont="1" applyFill="1" applyBorder="1" applyAlignment="1">
      <alignment horizontal="center"/>
    </xf>
    <xf numFmtId="1" fontId="41" fillId="14" borderId="4" xfId="0" applyNumberFormat="1" applyFont="1" applyFill="1" applyBorder="1" applyAlignment="1">
      <alignment horizontal="center"/>
    </xf>
    <xf numFmtId="2" fontId="41" fillId="14" borderId="4" xfId="0" applyNumberFormat="1" applyFont="1" applyFill="1" applyBorder="1" applyAlignment="1">
      <alignment horizontal="center"/>
    </xf>
    <xf numFmtId="0" fontId="48" fillId="14" borderId="15" xfId="0" applyFont="1" applyFill="1" applyBorder="1"/>
    <xf numFmtId="1" fontId="41" fillId="14" borderId="50" xfId="0" applyNumberFormat="1" applyFont="1" applyFill="1" applyBorder="1" applyAlignment="1">
      <alignment horizontal="center"/>
    </xf>
    <xf numFmtId="0" fontId="48" fillId="14" borderId="51" xfId="0" applyFont="1" applyFill="1" applyBorder="1"/>
    <xf numFmtId="167" fontId="41" fillId="14" borderId="4" xfId="0" applyNumberFormat="1" applyFont="1" applyFill="1" applyBorder="1" applyAlignment="1">
      <alignment horizontal="right"/>
    </xf>
    <xf numFmtId="0" fontId="41" fillId="14" borderId="5" xfId="0" applyFont="1" applyFill="1" applyBorder="1"/>
    <xf numFmtId="167" fontId="41" fillId="14" borderId="5" xfId="0" applyNumberFormat="1" applyFont="1" applyFill="1" applyBorder="1" applyAlignment="1">
      <alignment horizontal="right"/>
    </xf>
    <xf numFmtId="0" fontId="41" fillId="14" borderId="4" xfId="0" applyFont="1" applyFill="1" applyBorder="1" applyAlignment="1" applyProtection="1">
      <alignment horizontal="center"/>
      <protection locked="0"/>
    </xf>
    <xf numFmtId="167" fontId="41" fillId="14" borderId="4" xfId="1" applyNumberFormat="1" applyFont="1" applyFill="1" applyBorder="1" applyAlignment="1">
      <alignment horizontal="right"/>
    </xf>
    <xf numFmtId="167" fontId="41" fillId="14" borderId="4" xfId="0" applyNumberFormat="1" applyFont="1" applyFill="1" applyBorder="1"/>
    <xf numFmtId="0" fontId="41" fillId="14" borderId="1" xfId="0" applyFont="1" applyFill="1" applyBorder="1"/>
    <xf numFmtId="0" fontId="41" fillId="14" borderId="28" xfId="0" applyFont="1" applyFill="1" applyBorder="1"/>
    <xf numFmtId="0" fontId="41" fillId="14" borderId="9" xfId="0" applyFont="1" applyFill="1" applyBorder="1"/>
    <xf numFmtId="7" fontId="41" fillId="14" borderId="10" xfId="0" applyNumberFormat="1" applyFont="1" applyFill="1" applyBorder="1" applyAlignment="1">
      <alignment horizontal="right"/>
    </xf>
    <xf numFmtId="5" fontId="41" fillId="14" borderId="51" xfId="0" applyNumberFormat="1" applyFont="1" applyFill="1" applyBorder="1" applyAlignment="1">
      <alignment horizontal="center"/>
    </xf>
    <xf numFmtId="0" fontId="41" fillId="14" borderId="41" xfId="0" applyFont="1" applyFill="1" applyBorder="1"/>
    <xf numFmtId="7" fontId="41" fillId="14" borderId="20" xfId="0" quotePrefix="1" applyNumberFormat="1" applyFont="1" applyFill="1" applyBorder="1" applyAlignment="1">
      <alignment horizontal="right"/>
    </xf>
    <xf numFmtId="9" fontId="41" fillId="14" borderId="42" xfId="0" applyNumberFormat="1" applyFont="1" applyFill="1" applyBorder="1" applyAlignment="1">
      <alignment horizontal="right"/>
    </xf>
    <xf numFmtId="1" fontId="41" fillId="14" borderId="1" xfId="0" applyNumberFormat="1" applyFont="1" applyFill="1" applyBorder="1"/>
    <xf numFmtId="4" fontId="41" fillId="14" borderId="3" xfId="0" applyNumberFormat="1" applyFont="1" applyFill="1" applyBorder="1" applyAlignment="1">
      <alignment horizontal="center"/>
    </xf>
    <xf numFmtId="4" fontId="41" fillId="14" borderId="1" xfId="0" applyNumberFormat="1" applyFont="1" applyFill="1" applyBorder="1"/>
    <xf numFmtId="0" fontId="41" fillId="14" borderId="34" xfId="0" applyFont="1" applyFill="1" applyBorder="1"/>
    <xf numFmtId="0" fontId="41" fillId="14" borderId="43" xfId="0" applyFont="1" applyFill="1" applyBorder="1"/>
    <xf numFmtId="167" fontId="41" fillId="14" borderId="20" xfId="0" applyNumberFormat="1" applyFont="1" applyFill="1" applyBorder="1" applyAlignment="1">
      <alignment horizontal="right"/>
    </xf>
    <xf numFmtId="0" fontId="41" fillId="14" borderId="2" xfId="0" applyFont="1" applyFill="1" applyBorder="1"/>
    <xf numFmtId="167" fontId="41" fillId="14" borderId="3" xfId="2" applyNumberFormat="1" applyFont="1" applyFill="1" applyBorder="1"/>
    <xf numFmtId="4" fontId="41" fillId="14" borderId="0" xfId="0" applyNumberFormat="1" applyFont="1" applyFill="1"/>
    <xf numFmtId="167" fontId="41" fillId="14" borderId="0" xfId="2" applyNumberFormat="1" applyFont="1" applyFill="1" applyAlignment="1">
      <alignment horizontal="right"/>
    </xf>
    <xf numFmtId="167" fontId="41" fillId="14" borderId="9" xfId="0" applyNumberFormat="1" applyFont="1" applyFill="1" applyBorder="1"/>
    <xf numFmtId="0" fontId="36" fillId="14" borderId="47" xfId="0" applyFont="1" applyFill="1" applyBorder="1"/>
    <xf numFmtId="167" fontId="36" fillId="14" borderId="45" xfId="0" applyNumberFormat="1" applyFont="1" applyFill="1" applyBorder="1" applyAlignment="1">
      <alignment horizontal="right"/>
    </xf>
    <xf numFmtId="9" fontId="36" fillId="14" borderId="48" xfId="0" applyNumberFormat="1" applyFont="1" applyFill="1" applyBorder="1" applyAlignment="1">
      <alignment horizontal="right"/>
    </xf>
    <xf numFmtId="0" fontId="41" fillId="14" borderId="21" xfId="0" applyFont="1" applyFill="1" applyBorder="1" applyAlignment="1" applyProtection="1">
      <alignment vertical="center"/>
      <protection hidden="1"/>
    </xf>
    <xf numFmtId="0" fontId="41" fillId="14" borderId="4" xfId="0" applyFont="1" applyFill="1" applyBorder="1" applyAlignment="1" applyProtection="1">
      <alignment vertical="center"/>
      <protection hidden="1"/>
    </xf>
    <xf numFmtId="0" fontId="94" fillId="7" borderId="0" xfId="2" applyFont="1" applyFill="1"/>
    <xf numFmtId="0" fontId="41" fillId="14" borderId="0" xfId="0" applyFont="1" applyFill="1"/>
    <xf numFmtId="0" fontId="37" fillId="0" borderId="4" xfId="0" applyFont="1" applyBorder="1" applyAlignment="1" applyProtection="1">
      <alignment horizontal="center"/>
      <protection hidden="1"/>
    </xf>
    <xf numFmtId="1" fontId="83" fillId="14" borderId="4" xfId="0" applyNumberFormat="1" applyFont="1" applyFill="1" applyBorder="1" applyAlignment="1" applyProtection="1">
      <alignment horizontal="center"/>
      <protection hidden="1"/>
    </xf>
    <xf numFmtId="167" fontId="36" fillId="14" borderId="4" xfId="0" applyNumberFormat="1" applyFont="1" applyFill="1" applyBorder="1" applyAlignment="1">
      <alignment horizontal="right"/>
    </xf>
    <xf numFmtId="7" fontId="41" fillId="14" borderId="1" xfId="0" applyNumberFormat="1" applyFont="1" applyFill="1" applyBorder="1" applyAlignment="1">
      <alignment horizontal="right"/>
    </xf>
    <xf numFmtId="5" fontId="41" fillId="14" borderId="3" xfId="0" applyNumberFormat="1" applyFont="1" applyFill="1" applyBorder="1" applyAlignment="1">
      <alignment horizontal="center"/>
    </xf>
    <xf numFmtId="165" fontId="41" fillId="14" borderId="1" xfId="0" applyNumberFormat="1" applyFont="1" applyFill="1" applyBorder="1" applyAlignment="1">
      <alignment horizontal="right"/>
    </xf>
    <xf numFmtId="7" fontId="41" fillId="14" borderId="34" xfId="0" quotePrefix="1" applyNumberFormat="1" applyFont="1" applyFill="1" applyBorder="1" applyAlignment="1">
      <alignment horizontal="right"/>
    </xf>
    <xf numFmtId="9" fontId="41" fillId="14" borderId="34" xfId="0" applyNumberFormat="1" applyFont="1" applyFill="1" applyBorder="1" applyAlignment="1">
      <alignment horizontal="right"/>
    </xf>
    <xf numFmtId="7" fontId="41" fillId="14" borderId="4" xfId="0" quotePrefix="1" applyNumberFormat="1" applyFont="1" applyFill="1" applyBorder="1"/>
    <xf numFmtId="9" fontId="41" fillId="14" borderId="4" xfId="0" applyNumberFormat="1" applyFont="1" applyFill="1" applyBorder="1" applyAlignment="1">
      <alignment horizontal="right"/>
    </xf>
    <xf numFmtId="2" fontId="41" fillId="14" borderId="4" xfId="0" applyNumberFormat="1" applyFont="1" applyFill="1" applyBorder="1" applyAlignment="1">
      <alignment horizontal="right" vertical="center"/>
    </xf>
    <xf numFmtId="2" fontId="41" fillId="14" borderId="10" xfId="0" applyNumberFormat="1" applyFont="1" applyFill="1" applyBorder="1" applyAlignment="1">
      <alignment horizontal="right"/>
    </xf>
    <xf numFmtId="167" fontId="38" fillId="2" borderId="4" xfId="0" applyNumberFormat="1" applyFont="1" applyFill="1" applyBorder="1" applyAlignment="1" applyProtection="1">
      <alignment horizontal="center"/>
      <protection hidden="1"/>
    </xf>
    <xf numFmtId="167" fontId="41" fillId="14" borderId="34" xfId="0" applyNumberFormat="1" applyFont="1" applyFill="1" applyBorder="1" applyAlignment="1">
      <alignment horizontal="right"/>
    </xf>
    <xf numFmtId="0" fontId="30" fillId="0" borderId="0" xfId="0" applyFont="1" applyAlignment="1">
      <alignment horizontal="center"/>
    </xf>
    <xf numFmtId="0" fontId="82" fillId="7" borderId="0" xfId="0" applyFont="1" applyFill="1" applyAlignment="1" applyProtection="1">
      <alignment horizontal="left" vertical="center" wrapText="1"/>
      <protection hidden="1"/>
    </xf>
    <xf numFmtId="0" fontId="93" fillId="7" borderId="6" xfId="0" applyFont="1" applyFill="1" applyBorder="1" applyAlignment="1" applyProtection="1">
      <alignment horizontal="center" vertical="center" wrapText="1"/>
      <protection hidden="1"/>
    </xf>
    <xf numFmtId="0" fontId="71" fillId="7" borderId="0" xfId="0" applyFont="1" applyFill="1" applyProtection="1">
      <protection hidden="1"/>
    </xf>
    <xf numFmtId="0" fontId="0" fillId="0" borderId="0" xfId="0" quotePrefix="1"/>
    <xf numFmtId="0" fontId="93" fillId="7" borderId="0" xfId="0" applyFont="1" applyFill="1" applyAlignment="1" applyProtection="1">
      <alignment horizontal="left" vertical="center" wrapText="1"/>
      <protection hidden="1"/>
    </xf>
    <xf numFmtId="0" fontId="56" fillId="7" borderId="6" xfId="0" applyFont="1" applyFill="1" applyBorder="1" applyAlignment="1">
      <alignment horizontal="center" wrapText="1"/>
    </xf>
    <xf numFmtId="0" fontId="56" fillId="7" borderId="0" xfId="0" applyFont="1" applyFill="1" applyAlignment="1">
      <alignment horizontal="center" wrapText="1"/>
    </xf>
    <xf numFmtId="0" fontId="50" fillId="7" borderId="15" xfId="0" applyFont="1" applyFill="1" applyBorder="1" applyAlignment="1">
      <alignment horizontal="left"/>
    </xf>
    <xf numFmtId="0" fontId="41" fillId="14" borderId="1" xfId="0" applyFont="1" applyFill="1" applyBorder="1" applyAlignment="1">
      <alignment horizontal="center"/>
    </xf>
    <xf numFmtId="0" fontId="41" fillId="14" borderId="3" xfId="0" applyFont="1" applyFill="1" applyBorder="1" applyAlignment="1">
      <alignment horizontal="center"/>
    </xf>
    <xf numFmtId="0" fontId="48" fillId="14" borderId="1" xfId="0" applyFont="1" applyFill="1" applyBorder="1" applyAlignment="1">
      <alignment horizontal="center"/>
    </xf>
    <xf numFmtId="0" fontId="48" fillId="14" borderId="3" xfId="0" applyFont="1" applyFill="1" applyBorder="1" applyAlignment="1">
      <alignment horizontal="center"/>
    </xf>
    <xf numFmtId="167" fontId="46" fillId="7" borderId="0" xfId="0" applyNumberFormat="1" applyFont="1" applyFill="1" applyAlignment="1">
      <alignment horizontal="left" shrinkToFit="1"/>
    </xf>
    <xf numFmtId="0" fontId="46" fillId="7" borderId="0" xfId="0" applyFont="1" applyFill="1" applyAlignment="1">
      <alignment horizontal="left" shrinkToFit="1"/>
    </xf>
    <xf numFmtId="165" fontId="41" fillId="14" borderId="4" xfId="0" applyNumberFormat="1" applyFont="1" applyFill="1" applyBorder="1" applyAlignment="1">
      <alignment horizontal="center"/>
    </xf>
    <xf numFmtId="1" fontId="70" fillId="7" borderId="0" xfId="0" applyNumberFormat="1" applyFont="1" applyFill="1" applyAlignment="1">
      <alignment horizontal="center" wrapText="1" shrinkToFit="1"/>
    </xf>
    <xf numFmtId="1" fontId="38" fillId="7" borderId="9" xfId="0" applyNumberFormat="1" applyFont="1" applyFill="1" applyBorder="1" applyAlignment="1" applyProtection="1">
      <alignment horizontal="left" shrinkToFit="1"/>
      <protection hidden="1"/>
    </xf>
    <xf numFmtId="0" fontId="41" fillId="14" borderId="2" xfId="0" applyFont="1" applyFill="1" applyBorder="1" applyAlignment="1">
      <alignment horizontal="center"/>
    </xf>
    <xf numFmtId="0" fontId="51" fillId="5" borderId="15" xfId="0" applyFont="1" applyFill="1" applyBorder="1" applyAlignment="1">
      <alignment horizontal="left" vertical="center"/>
    </xf>
    <xf numFmtId="1" fontId="38" fillId="4" borderId="6" xfId="0" applyNumberFormat="1" applyFont="1" applyFill="1" applyBorder="1" applyAlignment="1">
      <alignment horizontal="left" vertical="center"/>
    </xf>
    <xf numFmtId="1" fontId="38" fillId="4" borderId="53" xfId="0" applyNumberFormat="1" applyFont="1" applyFill="1" applyBorder="1" applyAlignment="1">
      <alignment horizontal="left" vertical="center"/>
    </xf>
    <xf numFmtId="0" fontId="79" fillId="6" borderId="49" xfId="0" applyFont="1" applyFill="1" applyBorder="1" applyAlignment="1">
      <alignment horizontal="right"/>
    </xf>
    <xf numFmtId="7" fontId="38" fillId="9" borderId="24" xfId="0" applyNumberFormat="1" applyFont="1" applyFill="1" applyBorder="1" applyAlignment="1">
      <alignment horizontal="right"/>
    </xf>
    <xf numFmtId="0" fontId="60" fillId="3" borderId="55" xfId="2" applyFont="1" applyFill="1" applyBorder="1" applyAlignment="1">
      <alignment horizontal="center" vertical="center" wrapText="1"/>
    </xf>
    <xf numFmtId="0" fontId="60" fillId="3" borderId="56" xfId="2" applyFont="1" applyFill="1" applyBorder="1" applyAlignment="1">
      <alignment horizontal="center" vertical="center" wrapText="1"/>
    </xf>
    <xf numFmtId="0" fontId="60" fillId="3" borderId="57" xfId="2" applyFont="1" applyFill="1" applyBorder="1" applyAlignment="1">
      <alignment horizontal="center" vertical="center" wrapText="1"/>
    </xf>
    <xf numFmtId="0" fontId="60" fillId="3" borderId="58" xfId="2" applyFont="1" applyFill="1" applyBorder="1" applyAlignment="1">
      <alignment horizontal="center" vertical="center" wrapText="1"/>
    </xf>
    <xf numFmtId="0" fontId="60" fillId="3" borderId="0" xfId="2" applyFont="1" applyFill="1" applyAlignment="1">
      <alignment horizontal="center" vertical="center" wrapText="1"/>
    </xf>
    <xf numFmtId="0" fontId="60" fillId="3" borderId="59" xfId="2" applyFont="1" applyFill="1" applyBorder="1" applyAlignment="1">
      <alignment horizontal="center" vertical="center" wrapText="1"/>
    </xf>
    <xf numFmtId="0" fontId="60" fillId="3" borderId="60" xfId="2" applyFont="1" applyFill="1" applyBorder="1" applyAlignment="1">
      <alignment horizontal="center" vertical="center" wrapText="1"/>
    </xf>
    <xf numFmtId="0" fontId="60" fillId="3" borderId="61" xfId="2" applyFont="1" applyFill="1" applyBorder="1" applyAlignment="1">
      <alignment horizontal="center" vertical="center" wrapText="1"/>
    </xf>
    <xf numFmtId="0" fontId="60" fillId="3" borderId="62" xfId="2" applyFont="1" applyFill="1" applyBorder="1" applyAlignment="1">
      <alignment horizontal="center" vertical="center" wrapText="1"/>
    </xf>
    <xf numFmtId="0" fontId="55" fillId="7" borderId="9" xfId="0" applyFont="1" applyFill="1" applyBorder="1" applyAlignment="1" applyProtection="1">
      <alignment horizontal="left" vertical="center"/>
      <protection hidden="1"/>
    </xf>
    <xf numFmtId="0" fontId="55" fillId="7" borderId="28" xfId="0" applyFont="1" applyFill="1" applyBorder="1" applyAlignment="1" applyProtection="1">
      <alignment horizontal="left" vertical="center"/>
      <protection hidden="1"/>
    </xf>
    <xf numFmtId="0" fontId="55" fillId="7" borderId="65" xfId="0" applyFont="1" applyFill="1" applyBorder="1" applyAlignment="1" applyProtection="1">
      <alignment horizontal="left" vertical="center"/>
      <protection hidden="1"/>
    </xf>
    <xf numFmtId="0" fontId="55" fillId="7" borderId="66" xfId="0" applyFont="1" applyFill="1" applyBorder="1" applyAlignment="1" applyProtection="1">
      <alignment horizontal="left" vertical="center"/>
      <protection hidden="1"/>
    </xf>
    <xf numFmtId="0" fontId="55" fillId="7" borderId="67" xfId="0" applyFont="1" applyFill="1" applyBorder="1" applyAlignment="1" applyProtection="1">
      <alignment horizontal="left" vertical="center"/>
      <protection hidden="1"/>
    </xf>
    <xf numFmtId="0" fontId="55" fillId="7" borderId="19" xfId="0" applyFont="1" applyFill="1" applyBorder="1" applyAlignment="1" applyProtection="1">
      <alignment horizontal="left" vertical="center"/>
      <protection hidden="1"/>
    </xf>
    <xf numFmtId="0" fontId="55" fillId="7" borderId="16" xfId="0" applyFont="1" applyFill="1" applyBorder="1" applyAlignment="1" applyProtection="1">
      <alignment horizontal="left" vertical="center"/>
      <protection hidden="1"/>
    </xf>
    <xf numFmtId="0" fontId="55" fillId="7" borderId="22" xfId="0" applyFont="1" applyFill="1" applyBorder="1" applyAlignment="1" applyProtection="1">
      <alignment horizontal="left" vertical="center"/>
      <protection hidden="1"/>
    </xf>
    <xf numFmtId="0" fontId="51" fillId="5" borderId="0" xfId="0" applyFont="1" applyFill="1" applyAlignment="1">
      <alignment horizontal="left"/>
    </xf>
    <xf numFmtId="0" fontId="41" fillId="14" borderId="4" xfId="0" applyFont="1" applyFill="1" applyBorder="1" applyAlignment="1" applyProtection="1">
      <alignment horizontal="center" vertical="center"/>
      <protection hidden="1"/>
    </xf>
    <xf numFmtId="7" fontId="38" fillId="5" borderId="0" xfId="0" applyNumberFormat="1" applyFont="1" applyFill="1" applyAlignment="1">
      <alignment horizontal="right"/>
    </xf>
    <xf numFmtId="0" fontId="41" fillId="14" borderId="9" xfId="0" applyFont="1" applyFill="1" applyBorder="1" applyAlignment="1" applyProtection="1">
      <alignment horizontal="center" vertical="center"/>
      <protection hidden="1"/>
    </xf>
    <xf numFmtId="2" fontId="41" fillId="14" borderId="4" xfId="0" applyNumberFormat="1" applyFont="1" applyFill="1" applyBorder="1" applyAlignment="1" applyProtection="1">
      <alignment horizontal="center" vertical="center"/>
      <protection hidden="1"/>
    </xf>
    <xf numFmtId="0" fontId="7" fillId="0" borderId="30" xfId="0" applyFont="1" applyBorder="1" applyAlignment="1">
      <alignment vertical="center" wrapText="1"/>
    </xf>
    <xf numFmtId="0" fontId="7" fillId="0" borderId="32" xfId="0" applyFont="1" applyBorder="1" applyAlignment="1">
      <alignment vertical="center" wrapText="1"/>
    </xf>
    <xf numFmtId="0" fontId="7" fillId="0" borderId="31" xfId="0" applyFont="1" applyBorder="1" applyAlignment="1">
      <alignment vertical="center" wrapText="1"/>
    </xf>
    <xf numFmtId="0" fontId="9" fillId="0" borderId="30" xfId="0" applyFont="1" applyBorder="1" applyAlignment="1">
      <alignment vertical="center" wrapText="1"/>
    </xf>
    <xf numFmtId="0" fontId="9" fillId="0" borderId="32" xfId="0" applyFont="1" applyBorder="1" applyAlignment="1">
      <alignment vertical="center" wrapText="1"/>
    </xf>
    <xf numFmtId="0" fontId="0" fillId="8" borderId="12" xfId="0" applyFill="1" applyBorder="1" applyAlignment="1">
      <alignment horizontal="center"/>
    </xf>
    <xf numFmtId="0" fontId="0" fillId="8" borderId="13" xfId="0" applyFill="1" applyBorder="1" applyAlignment="1">
      <alignment horizontal="center"/>
    </xf>
    <xf numFmtId="0" fontId="0" fillId="7" borderId="1" xfId="0" applyFill="1" applyBorder="1" applyAlignment="1">
      <alignment horizontal="left"/>
    </xf>
    <xf numFmtId="0" fontId="0" fillId="7" borderId="2" xfId="0" applyFill="1" applyBorder="1" applyAlignment="1">
      <alignment horizontal="left"/>
    </xf>
  </cellXfs>
  <cellStyles count="4">
    <cellStyle name="Lien hypertexte" xfId="2" builtinId="8"/>
    <cellStyle name="Milliers" xfId="1" builtinId="3"/>
    <cellStyle name="Normal" xfId="0" builtinId="0"/>
    <cellStyle name="Pourcentage" xfId="3" builtinId="5"/>
  </cellStyles>
  <dxfs count="16">
    <dxf>
      <font>
        <color rgb="FF9C0006"/>
      </font>
      <fill>
        <patternFill>
          <bgColor rgb="FFFFC7CE"/>
        </patternFill>
      </fill>
    </dxf>
    <dxf>
      <fill>
        <patternFill>
          <bgColor rgb="FFFFFF00"/>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rgb="FFFFFF00"/>
        </patternFill>
      </fill>
    </dxf>
    <dxf>
      <fill>
        <patternFill>
          <bgColor theme="0"/>
        </patternFill>
      </fill>
    </dxf>
    <dxf>
      <font>
        <color rgb="FFE84563"/>
      </font>
    </dxf>
    <dxf>
      <font>
        <color theme="0" tint="-4.9989318521683403E-2"/>
      </font>
    </dxf>
    <dxf>
      <font>
        <color rgb="FFE84563"/>
      </font>
    </dxf>
    <dxf>
      <font>
        <color rgb="FFE84563"/>
      </font>
    </dxf>
    <dxf>
      <font>
        <color rgb="FFE84563"/>
      </font>
    </dxf>
    <dxf>
      <font>
        <color rgb="FFE84563"/>
      </font>
    </dxf>
    <dxf>
      <font>
        <color rgb="FFE84563"/>
      </font>
    </dxf>
    <dxf>
      <font>
        <color rgb="FFE84563"/>
      </font>
    </dxf>
  </dxfs>
  <tableStyles count="0" defaultTableStyle="TableStyleMedium2" defaultPivotStyle="PivotStyleLight16"/>
  <colors>
    <mruColors>
      <color rgb="FF14A89B"/>
      <color rgb="FFE84563"/>
      <color rgb="FF1D4851"/>
      <color rgb="FF00A7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321469</xdr:colOff>
      <xdr:row>0</xdr:row>
      <xdr:rowOff>119062</xdr:rowOff>
    </xdr:from>
    <xdr:to>
      <xdr:col>0</xdr:col>
      <xdr:colOff>2636838</xdr:colOff>
      <xdr:row>2</xdr:row>
      <xdr:rowOff>96256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469" y="119062"/>
          <a:ext cx="2321719" cy="75665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kto.fr/contrat-professionnalisation/" TargetMode="External"/><Relationship Id="rId7" Type="http://schemas.openxmlformats.org/officeDocument/2006/relationships/comments" Target="../comments1.xml"/><Relationship Id="rId2" Type="http://schemas.openxmlformats.org/officeDocument/2006/relationships/hyperlink" Target="https://www.alternance.emploi.gouv.fr/portail_alternance/jcms/gc_5504/simulateur-employeur" TargetMode="External"/><Relationship Id="rId1" Type="http://schemas.openxmlformats.org/officeDocument/2006/relationships/hyperlink" Target="http://www.faftt.fr/upload/docs/application/pdf/2017-03/mode_demploi_apprentissage_interimaire.pdf"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O115"/>
  <sheetViews>
    <sheetView tabSelected="1" zoomScale="96" zoomScaleNormal="85" zoomScaleSheetLayoutView="75" workbookViewId="0">
      <selection activeCell="C11" sqref="C11"/>
    </sheetView>
  </sheetViews>
  <sheetFormatPr baseColWidth="10" defaultColWidth="11.453125" defaultRowHeight="15"/>
  <cols>
    <col min="1" max="1" width="78.1796875" style="91" customWidth="1"/>
    <col min="2" max="2" width="30.54296875" style="91" customWidth="1"/>
    <col min="3" max="3" width="29.26953125" style="91" customWidth="1"/>
    <col min="4" max="4" width="34.81640625" style="91" customWidth="1"/>
    <col min="5" max="5" width="27.1796875" style="91" customWidth="1"/>
    <col min="6" max="6" width="22.26953125" style="91" customWidth="1"/>
    <col min="7" max="7" width="35.26953125" style="91" customWidth="1"/>
    <col min="8" max="8" width="36.26953125" style="91" customWidth="1"/>
    <col min="9" max="9" width="16.1796875" style="91" customWidth="1"/>
    <col min="10" max="10" width="20.7265625" style="91" customWidth="1"/>
    <col min="11" max="16384" width="11.453125" style="91"/>
  </cols>
  <sheetData>
    <row r="1" spans="1:14" ht="59" customHeight="1">
      <c r="A1" s="88"/>
      <c r="B1" s="89"/>
      <c r="C1" s="392"/>
      <c r="D1" s="395" t="s">
        <v>285</v>
      </c>
      <c r="E1" s="395"/>
      <c r="F1" s="395"/>
      <c r="G1" s="395"/>
      <c r="H1" s="391"/>
      <c r="I1" s="391"/>
      <c r="J1" s="88"/>
      <c r="K1" s="90"/>
      <c r="L1" s="90"/>
      <c r="M1" s="90"/>
      <c r="N1" s="90"/>
    </row>
    <row r="2" spans="1:14" s="88" customFormat="1" ht="3" customHeight="1">
      <c r="A2" s="92"/>
      <c r="B2" s="93"/>
      <c r="C2" s="94"/>
      <c r="D2" s="95"/>
      <c r="E2" s="96"/>
      <c r="F2" s="94"/>
      <c r="G2" s="95"/>
      <c r="H2" s="96"/>
      <c r="I2" s="94"/>
      <c r="J2" s="97"/>
      <c r="K2" s="98"/>
      <c r="L2" s="90"/>
      <c r="M2" s="90"/>
      <c r="N2" s="90"/>
    </row>
    <row r="3" spans="1:14" ht="22.5">
      <c r="A3" s="92"/>
      <c r="B3" s="93"/>
      <c r="C3" s="94"/>
      <c r="D3" s="95"/>
      <c r="E3" s="298"/>
      <c r="F3" s="94"/>
      <c r="G3" s="95"/>
      <c r="H3" s="96"/>
      <c r="I3" s="94"/>
      <c r="J3" s="97"/>
      <c r="K3" s="98"/>
      <c r="L3" s="90"/>
      <c r="M3" s="90"/>
      <c r="N3" s="90"/>
    </row>
    <row r="4" spans="1:14" ht="27">
      <c r="A4" s="99" t="s">
        <v>244</v>
      </c>
      <c r="B4" s="93"/>
      <c r="C4" s="94"/>
      <c r="D4" s="374" t="s">
        <v>284</v>
      </c>
      <c r="E4" s="299"/>
      <c r="F4" s="253"/>
      <c r="G4" s="95"/>
      <c r="H4" s="96"/>
      <c r="I4" s="94"/>
      <c r="J4" s="97"/>
      <c r="K4" s="98"/>
      <c r="L4" s="90"/>
      <c r="M4" s="90"/>
      <c r="N4" s="90"/>
    </row>
    <row r="5" spans="1:14" ht="20.25" customHeight="1" thickBot="1">
      <c r="A5" s="92"/>
      <c r="B5" s="93"/>
      <c r="C5" s="94"/>
      <c r="D5" s="255"/>
      <c r="E5" s="298"/>
      <c r="F5" s="94"/>
      <c r="G5" s="95"/>
      <c r="H5" s="96"/>
      <c r="I5" s="285"/>
      <c r="J5" s="97"/>
      <c r="K5" s="98"/>
      <c r="L5" s="90"/>
      <c r="M5" s="90"/>
      <c r="N5" s="90"/>
    </row>
    <row r="6" spans="1:14" ht="28.5" customHeight="1" thickTop="1" thickBot="1">
      <c r="A6" s="304" t="s">
        <v>243</v>
      </c>
      <c r="B6" s="100"/>
      <c r="C6" s="264"/>
      <c r="D6" s="256"/>
      <c r="E6" s="103" t="s">
        <v>247</v>
      </c>
      <c r="F6" s="104" t="s">
        <v>181</v>
      </c>
      <c r="G6" s="105" t="s">
        <v>257</v>
      </c>
      <c r="H6" s="287" t="s">
        <v>187</v>
      </c>
      <c r="I6" s="257"/>
      <c r="J6" s="125"/>
      <c r="K6" s="106"/>
      <c r="L6" s="90"/>
      <c r="M6" s="90"/>
      <c r="N6" s="90"/>
    </row>
    <row r="7" spans="1:14" ht="18.75" customHeight="1" thickTop="1">
      <c r="A7" s="107"/>
      <c r="B7" s="107"/>
      <c r="C7" s="101"/>
      <c r="D7" s="320" t="s">
        <v>260</v>
      </c>
      <c r="E7" s="321" t="e">
        <f>(I7/(B21/B18))</f>
        <v>#VALUE!</v>
      </c>
      <c r="F7" s="322"/>
      <c r="G7" s="323"/>
      <c r="H7" s="286"/>
      <c r="I7" s="259">
        <f>D23</f>
        <v>1801.7999999999988</v>
      </c>
      <c r="J7" s="125"/>
      <c r="K7" s="106"/>
      <c r="L7" s="90"/>
      <c r="M7" s="90"/>
      <c r="N7" s="90"/>
    </row>
    <row r="8" spans="1:14" ht="19">
      <c r="A8" s="305" t="s">
        <v>29</v>
      </c>
      <c r="B8" s="300"/>
      <c r="C8" s="102"/>
      <c r="D8" s="320" t="s">
        <v>261</v>
      </c>
      <c r="E8" s="321" t="e">
        <f>(I8/(B21/B18))</f>
        <v>#VALUE!</v>
      </c>
      <c r="F8" s="324" t="e">
        <f>E8+(E8*B33/100)</f>
        <v>#VALUE!</v>
      </c>
      <c r="G8" s="325" t="e">
        <f>F8*B103</f>
        <v>#VALUE!</v>
      </c>
      <c r="H8" s="286"/>
      <c r="I8" s="260">
        <f>IF(B22="SMIC ou +  ",I7,Feuil1!D3)</f>
        <v>0</v>
      </c>
      <c r="J8" s="125"/>
      <c r="K8" s="108"/>
      <c r="L8" s="90"/>
      <c r="M8" s="90"/>
      <c r="N8" s="90"/>
    </row>
    <row r="9" spans="1:14" ht="19">
      <c r="A9" s="305" t="s">
        <v>273</v>
      </c>
      <c r="B9" s="300"/>
      <c r="C9" s="270"/>
      <c r="D9" s="326" t="s">
        <v>268</v>
      </c>
      <c r="E9" s="327">
        <f>B32</f>
        <v>0</v>
      </c>
      <c r="F9" s="328">
        <f>(B32*B33/100)+B32</f>
        <v>0</v>
      </c>
      <c r="G9" s="325">
        <f>F9*B103</f>
        <v>0</v>
      </c>
      <c r="H9" s="115"/>
      <c r="I9" s="261">
        <f>E9*151.6670081967</f>
        <v>0</v>
      </c>
      <c r="J9" s="125"/>
      <c r="K9" s="106"/>
      <c r="L9" s="90"/>
      <c r="M9" s="90"/>
      <c r="N9" s="90"/>
    </row>
    <row r="10" spans="1:14" ht="19">
      <c r="A10" s="305" t="s">
        <v>132</v>
      </c>
      <c r="B10" s="376"/>
      <c r="C10" s="270"/>
      <c r="D10" s="329"/>
      <c r="E10" s="330"/>
      <c r="F10" s="331"/>
      <c r="G10" s="332"/>
      <c r="H10" s="115"/>
      <c r="I10" s="261"/>
      <c r="J10" s="125"/>
      <c r="K10" s="106"/>
      <c r="L10" s="90"/>
      <c r="M10" s="90"/>
      <c r="N10" s="90"/>
    </row>
    <row r="11" spans="1:14" ht="19.5" customHeight="1">
      <c r="A11" s="305" t="s">
        <v>276</v>
      </c>
      <c r="B11" s="300"/>
      <c r="C11" s="270"/>
      <c r="D11" s="329"/>
      <c r="E11" s="330"/>
      <c r="F11" s="331"/>
      <c r="G11" s="332"/>
      <c r="H11" s="115"/>
      <c r="I11" s="261"/>
      <c r="J11" s="125"/>
      <c r="K11" s="106"/>
      <c r="L11" s="90"/>
      <c r="M11" s="90"/>
      <c r="N11" s="90"/>
    </row>
    <row r="12" spans="1:14" ht="21" customHeight="1">
      <c r="A12" s="305" t="s">
        <v>288</v>
      </c>
      <c r="B12" s="300"/>
      <c r="C12" s="270"/>
      <c r="D12" s="289"/>
      <c r="E12" s="290"/>
      <c r="F12" s="291"/>
      <c r="G12" s="292"/>
      <c r="H12" s="115"/>
      <c r="I12" s="261"/>
      <c r="J12" s="125"/>
      <c r="K12" s="106"/>
      <c r="L12" s="90"/>
      <c r="M12" s="90"/>
      <c r="N12" s="90"/>
    </row>
    <row r="13" spans="1:14" ht="19.5" customHeight="1">
      <c r="A13" s="305" t="s">
        <v>41</v>
      </c>
      <c r="B13" s="300"/>
      <c r="C13" s="396" t="str">
        <f>IF(B14="&gt;=26","Le taux horaire en formation (E8) doit être au minimum au SMIC","")</f>
        <v/>
      </c>
      <c r="D13" s="397"/>
      <c r="E13" s="260" t="e">
        <f>E8</f>
        <v>#VALUE!</v>
      </c>
      <c r="F13" s="263" t="e">
        <f>E13*1.4018</f>
        <v>#VALUE!</v>
      </c>
      <c r="G13" s="263" t="e">
        <f>F13*1.1</f>
        <v>#VALUE!</v>
      </c>
      <c r="H13" s="263"/>
      <c r="I13" s="258"/>
      <c r="J13" s="125"/>
      <c r="K13" s="108"/>
      <c r="L13" s="90"/>
      <c r="M13" s="90"/>
      <c r="N13" s="90"/>
    </row>
    <row r="14" spans="1:14" ht="16.899999999999999" customHeight="1">
      <c r="A14" s="305" t="s">
        <v>26</v>
      </c>
      <c r="B14" s="300"/>
      <c r="C14" s="396"/>
      <c r="D14" s="397"/>
      <c r="E14" s="88"/>
      <c r="F14" s="88"/>
      <c r="G14" s="88"/>
      <c r="H14" s="263">
        <f>G9+((E9*1.1)-E9)</f>
        <v>0</v>
      </c>
      <c r="I14" s="115"/>
      <c r="J14" s="274"/>
      <c r="K14" s="109"/>
      <c r="L14" s="90"/>
      <c r="M14" s="90"/>
      <c r="N14" s="90"/>
    </row>
    <row r="15" spans="1:14" ht="15" hidden="1" customHeight="1">
      <c r="A15" s="306" t="s">
        <v>37</v>
      </c>
      <c r="B15" s="300"/>
      <c r="C15" s="271"/>
      <c r="D15" s="407" t="s">
        <v>192</v>
      </c>
      <c r="E15" s="407"/>
      <c r="F15" s="279">
        <f>E9</f>
        <v>0</v>
      </c>
      <c r="G15" s="280">
        <f>F15*1.4018</f>
        <v>0</v>
      </c>
      <c r="H15" s="280">
        <f>G15*1.1</f>
        <v>0</v>
      </c>
      <c r="I15" s="281">
        <f t="shared" ref="I15" si="0">H15+((F15*1.1)-F15)</f>
        <v>0</v>
      </c>
      <c r="J15" s="273"/>
      <c r="K15" s="108"/>
      <c r="L15" s="90"/>
      <c r="M15" s="90"/>
      <c r="N15" s="90"/>
    </row>
    <row r="16" spans="1:14" ht="15.75" hidden="1" customHeight="1">
      <c r="A16" s="307" t="s">
        <v>25</v>
      </c>
      <c r="B16" s="301"/>
      <c r="C16" s="271"/>
      <c r="F16" s="282"/>
      <c r="G16" s="282"/>
      <c r="H16" s="282"/>
      <c r="I16" s="282"/>
      <c r="J16" s="274"/>
      <c r="K16" s="110"/>
      <c r="L16" s="90"/>
      <c r="M16" s="90"/>
      <c r="N16" s="90"/>
    </row>
    <row r="17" spans="1:14" ht="1" customHeight="1">
      <c r="A17" s="308" t="s">
        <v>249</v>
      </c>
      <c r="B17" s="302"/>
      <c r="C17" s="271"/>
      <c r="F17" s="282"/>
      <c r="G17" s="282"/>
      <c r="H17" s="282"/>
      <c r="I17" s="282"/>
      <c r="J17" s="273"/>
      <c r="K17" s="90"/>
      <c r="L17" s="90"/>
      <c r="M17" s="90"/>
      <c r="N17" s="90"/>
    </row>
    <row r="18" spans="1:14" ht="19">
      <c r="A18" s="305" t="s">
        <v>254</v>
      </c>
      <c r="B18" s="303"/>
      <c r="C18" s="271"/>
      <c r="D18" s="249"/>
      <c r="E18" s="249"/>
      <c r="F18" s="115"/>
      <c r="G18" s="250"/>
      <c r="H18" s="250"/>
      <c r="I18" s="250"/>
      <c r="J18" s="272"/>
      <c r="K18" s="90"/>
      <c r="L18" s="90"/>
      <c r="M18" s="90"/>
      <c r="N18" s="90"/>
    </row>
    <row r="19" spans="1:14" ht="21">
      <c r="A19" s="309" t="s">
        <v>27</v>
      </c>
      <c r="B19" s="303"/>
      <c r="C19" s="247" t="str">
        <f>IF(B9="Oui","Erreur uniquement intérimaire","")</f>
        <v/>
      </c>
      <c r="D19" s="251"/>
      <c r="E19" s="252"/>
      <c r="F19" s="283"/>
      <c r="G19" s="250"/>
      <c r="H19" s="250"/>
      <c r="I19" s="250"/>
      <c r="J19" s="272"/>
      <c r="K19" s="90"/>
      <c r="L19" s="90"/>
      <c r="M19" s="90"/>
      <c r="N19" s="90"/>
    </row>
    <row r="20" spans="1:14" ht="21">
      <c r="A20" s="309" t="s">
        <v>253</v>
      </c>
      <c r="B20" s="303">
        <v>35</v>
      </c>
      <c r="C20" s="247"/>
      <c r="D20" s="251"/>
      <c r="E20" s="252"/>
      <c r="F20" s="283"/>
      <c r="G20" s="284"/>
      <c r="H20" s="254"/>
      <c r="I20" s="254"/>
      <c r="J20" s="125"/>
      <c r="K20" s="90"/>
      <c r="L20" s="90"/>
      <c r="M20" s="90"/>
      <c r="N20" s="90"/>
    </row>
    <row r="21" spans="1:14" ht="19">
      <c r="A21" s="305" t="s">
        <v>45</v>
      </c>
      <c r="B21" s="377" t="str">
        <f>IF(B20*B18*4.333333333333&gt;213,(B20*B18*4.333333333333)-(1820*11.7%),"")</f>
        <v/>
      </c>
      <c r="C21" s="305" t="s">
        <v>251</v>
      </c>
      <c r="D21" s="314" t="e">
        <f>B19/B21</f>
        <v>#VALUE!</v>
      </c>
      <c r="E21" s="248" t="e">
        <f>D21</f>
        <v>#VALUE!</v>
      </c>
      <c r="F21" s="111">
        <v>15</v>
      </c>
      <c r="G21" s="112" t="e">
        <f>#REF!+#REF!*(F21/100)</f>
        <v>#REF!</v>
      </c>
      <c r="H21" s="403" t="e">
        <f>G21*B103</f>
        <v>#REF!</v>
      </c>
      <c r="I21" s="404"/>
      <c r="J21" s="125"/>
      <c r="K21" s="90"/>
      <c r="L21" s="90"/>
      <c r="M21" s="90"/>
      <c r="N21" s="90"/>
    </row>
    <row r="22" spans="1:14" ht="38.25" customHeight="1">
      <c r="A22" s="310" t="s">
        <v>262</v>
      </c>
      <c r="B22" s="113" t="s">
        <v>266</v>
      </c>
      <c r="C22" s="88"/>
      <c r="D22" s="88"/>
      <c r="E22" s="102"/>
      <c r="F22" s="114"/>
      <c r="G22" s="276"/>
      <c r="H22" s="277"/>
      <c r="I22" s="125"/>
      <c r="J22" s="125"/>
      <c r="K22" s="90"/>
      <c r="L22" s="90"/>
      <c r="M22" s="90"/>
      <c r="N22" s="90"/>
    </row>
    <row r="23" spans="1:14" ht="57">
      <c r="A23" s="311" t="s">
        <v>256</v>
      </c>
      <c r="B23" s="297">
        <v>11.88</v>
      </c>
      <c r="C23" s="333" t="s">
        <v>255</v>
      </c>
      <c r="D23" s="334">
        <f>B23*B20*4.33333333333333</f>
        <v>1801.7999999999988</v>
      </c>
      <c r="E23" s="88"/>
      <c r="F23" s="125"/>
      <c r="G23" s="125"/>
      <c r="H23" s="125"/>
      <c r="I23" s="125"/>
      <c r="J23" s="125"/>
      <c r="K23" s="90"/>
      <c r="L23" s="90"/>
      <c r="M23" s="90"/>
      <c r="N23" s="90"/>
    </row>
    <row r="24" spans="1:14" ht="19">
      <c r="A24" s="305" t="s">
        <v>5</v>
      </c>
      <c r="B24" s="293"/>
      <c r="C24" s="335" t="s">
        <v>28</v>
      </c>
      <c r="D24" s="336" t="e">
        <f>B24/B19</f>
        <v>#DIV/0!</v>
      </c>
      <c r="E24" s="116"/>
      <c r="F24" s="116"/>
      <c r="G24" s="278"/>
      <c r="H24" s="404">
        <f>G24*B103</f>
        <v>0</v>
      </c>
      <c r="I24" s="404"/>
      <c r="J24" s="125"/>
      <c r="K24" s="90"/>
      <c r="L24" s="90"/>
      <c r="M24" s="90"/>
      <c r="N24" s="90"/>
    </row>
    <row r="25" spans="1:14" ht="19">
      <c r="A25" s="393"/>
      <c r="B25" s="117"/>
      <c r="C25" s="118"/>
      <c r="D25" s="119"/>
      <c r="E25" s="116"/>
      <c r="F25" s="116"/>
      <c r="G25" s="278"/>
      <c r="H25" s="275"/>
      <c r="I25" s="275"/>
      <c r="J25" s="125"/>
      <c r="K25" s="90"/>
      <c r="L25" s="90"/>
      <c r="M25" s="90"/>
      <c r="N25" s="90"/>
    </row>
    <row r="26" spans="1:14" ht="19">
      <c r="A26" s="312" t="s">
        <v>11</v>
      </c>
      <c r="B26" s="293"/>
      <c r="C26" s="305" t="s">
        <v>203</v>
      </c>
      <c r="D26" s="120"/>
      <c r="E26" s="399" t="s">
        <v>206</v>
      </c>
      <c r="F26" s="400"/>
      <c r="G26" s="121"/>
      <c r="H26" s="316" t="s">
        <v>13</v>
      </c>
      <c r="I26" s="342">
        <f>G26+D26</f>
        <v>0</v>
      </c>
      <c r="J26" s="88"/>
      <c r="K26" s="90"/>
      <c r="L26" s="90"/>
      <c r="M26" s="90"/>
      <c r="N26" s="90"/>
    </row>
    <row r="27" spans="1:14" ht="19">
      <c r="A27" s="313" t="s">
        <v>6</v>
      </c>
      <c r="B27" s="293"/>
      <c r="C27" s="305" t="s">
        <v>203</v>
      </c>
      <c r="D27" s="120"/>
      <c r="E27" s="399" t="s">
        <v>206</v>
      </c>
      <c r="F27" s="400"/>
      <c r="G27" s="121"/>
      <c r="H27" s="316" t="s">
        <v>14</v>
      </c>
      <c r="I27" s="342">
        <f>G27+D27</f>
        <v>0</v>
      </c>
      <c r="J27" s="88"/>
      <c r="K27" s="90"/>
      <c r="L27" s="90"/>
      <c r="M27" s="90"/>
      <c r="N27" s="90"/>
    </row>
    <row r="28" spans="1:14" ht="19">
      <c r="A28" s="313" t="s">
        <v>7</v>
      </c>
      <c r="B28" s="293"/>
      <c r="C28" s="305" t="s">
        <v>203</v>
      </c>
      <c r="D28" s="120"/>
      <c r="E28" s="399" t="s">
        <v>206</v>
      </c>
      <c r="F28" s="400"/>
      <c r="G28" s="390"/>
      <c r="H28" s="316" t="s">
        <v>15</v>
      </c>
      <c r="I28" s="342">
        <f>G28+D28</f>
        <v>0</v>
      </c>
      <c r="J28" s="88"/>
      <c r="K28" s="90"/>
      <c r="L28" s="90"/>
      <c r="M28" s="90"/>
      <c r="N28" s="90"/>
    </row>
    <row r="29" spans="1:14" ht="19">
      <c r="A29" s="313" t="s">
        <v>207</v>
      </c>
      <c r="B29" s="293"/>
      <c r="C29" s="305" t="s">
        <v>203</v>
      </c>
      <c r="D29" s="120"/>
      <c r="E29" s="399" t="s">
        <v>206</v>
      </c>
      <c r="F29" s="400"/>
      <c r="G29" s="121"/>
      <c r="H29" s="316" t="s">
        <v>208</v>
      </c>
      <c r="I29" s="342">
        <f>G29+D29</f>
        <v>0</v>
      </c>
      <c r="J29" s="88"/>
      <c r="K29" s="90"/>
      <c r="L29" s="90"/>
      <c r="M29" s="90"/>
      <c r="N29" s="90"/>
    </row>
    <row r="30" spans="1:14" ht="31">
      <c r="A30" s="88"/>
      <c r="B30" s="88"/>
      <c r="C30" s="337" t="s">
        <v>209</v>
      </c>
      <c r="D30" s="339">
        <f>B19/7</f>
        <v>0</v>
      </c>
      <c r="E30" s="401" t="s">
        <v>210</v>
      </c>
      <c r="F30" s="402"/>
      <c r="G30" s="339" t="e">
        <f>(B21-B19)/7-(B18*2.5)</f>
        <v>#VALUE!</v>
      </c>
      <c r="H30" s="341" t="s">
        <v>269</v>
      </c>
      <c r="I30" s="343"/>
      <c r="J30" s="88"/>
      <c r="K30" s="90"/>
      <c r="L30" s="90"/>
      <c r="M30" s="90"/>
      <c r="N30" s="90"/>
    </row>
    <row r="31" spans="1:14" ht="19">
      <c r="A31" s="88"/>
      <c r="B31" s="88"/>
      <c r="C31" s="338" t="s">
        <v>211</v>
      </c>
      <c r="D31" s="340">
        <f>D30/5</f>
        <v>0</v>
      </c>
      <c r="E31" s="399" t="s">
        <v>211</v>
      </c>
      <c r="F31" s="400"/>
      <c r="G31" s="340" t="e">
        <f>G30/5</f>
        <v>#VALUE!</v>
      </c>
      <c r="H31" s="88"/>
      <c r="I31" s="88"/>
      <c r="J31" s="88"/>
      <c r="K31" s="90"/>
      <c r="L31" s="90"/>
      <c r="M31" s="90"/>
      <c r="N31" s="90"/>
    </row>
    <row r="32" spans="1:14" ht="19">
      <c r="A32" s="315" t="s">
        <v>283</v>
      </c>
      <c r="B32" s="388"/>
      <c r="C32" s="122"/>
      <c r="D32" s="123"/>
      <c r="E32" s="124"/>
      <c r="F32" s="125"/>
      <c r="G32" s="125"/>
      <c r="H32" s="88"/>
      <c r="I32" s="88"/>
      <c r="J32" s="88"/>
      <c r="K32" s="90"/>
      <c r="L32" s="90"/>
      <c r="M32" s="90"/>
      <c r="N32" s="90"/>
    </row>
    <row r="33" spans="1:14" ht="19">
      <c r="A33" s="316" t="s">
        <v>246</v>
      </c>
      <c r="B33" s="295"/>
      <c r="C33" s="122"/>
      <c r="D33" s="123"/>
      <c r="E33" s="124"/>
      <c r="F33" s="125"/>
      <c r="G33" s="125"/>
      <c r="H33" s="88"/>
      <c r="I33" s="88"/>
      <c r="J33" s="88"/>
      <c r="K33" s="90"/>
      <c r="L33" s="90"/>
      <c r="M33" s="90"/>
      <c r="N33" s="90"/>
    </row>
    <row r="34" spans="1:14" ht="19">
      <c r="A34" s="317" t="s">
        <v>186</v>
      </c>
      <c r="B34" s="296"/>
      <c r="C34" s="122"/>
      <c r="D34" s="123"/>
      <c r="E34" s="187"/>
      <c r="F34" s="154"/>
      <c r="G34" s="154"/>
      <c r="H34" s="154"/>
      <c r="I34" s="154"/>
      <c r="J34" s="154"/>
      <c r="K34" s="90"/>
      <c r="L34" s="90"/>
      <c r="M34" s="90"/>
      <c r="N34" s="90"/>
    </row>
    <row r="35" spans="1:14">
      <c r="A35" s="126"/>
      <c r="B35" s="122"/>
      <c r="C35" s="122"/>
      <c r="D35" s="123"/>
      <c r="E35" s="187"/>
      <c r="F35" s="154"/>
      <c r="G35" s="154"/>
      <c r="H35" s="154"/>
      <c r="I35" s="154"/>
      <c r="J35" s="154"/>
      <c r="K35" s="90"/>
      <c r="L35" s="90"/>
      <c r="M35" s="90"/>
      <c r="N35" s="90"/>
    </row>
    <row r="36" spans="1:14" ht="22.5">
      <c r="A36" s="127" t="s">
        <v>171</v>
      </c>
      <c r="B36" s="128"/>
      <c r="C36" s="129"/>
      <c r="D36" s="130"/>
      <c r="E36" s="246"/>
      <c r="F36" s="154"/>
      <c r="G36" s="154"/>
      <c r="H36" s="154"/>
      <c r="I36" s="154"/>
      <c r="J36" s="154"/>
      <c r="K36" s="90"/>
      <c r="L36" s="90"/>
      <c r="M36" s="90"/>
      <c r="N36" s="90"/>
    </row>
    <row r="37" spans="1:14" ht="19">
      <c r="A37" s="317" t="s">
        <v>44</v>
      </c>
      <c r="B37" s="386">
        <f>B19</f>
        <v>0</v>
      </c>
      <c r="C37" s="131"/>
      <c r="D37" s="132"/>
      <c r="E37" s="406"/>
      <c r="F37" s="406"/>
      <c r="G37" s="406"/>
      <c r="H37" s="154"/>
      <c r="I37" s="154"/>
      <c r="J37" s="154"/>
      <c r="K37" s="90"/>
      <c r="L37" s="90"/>
      <c r="M37" s="90"/>
      <c r="N37" s="90"/>
    </row>
    <row r="38" spans="1:14" ht="19">
      <c r="A38" s="317" t="s">
        <v>198</v>
      </c>
      <c r="B38" s="386" t="e">
        <f>B21-B19</f>
        <v>#VALUE!</v>
      </c>
      <c r="C38" s="265"/>
      <c r="D38" s="266"/>
      <c r="E38" s="267"/>
      <c r="F38" s="267"/>
      <c r="G38" s="195"/>
      <c r="H38" s="154"/>
      <c r="I38" s="154"/>
      <c r="J38" s="154"/>
      <c r="K38" s="90"/>
      <c r="L38" s="90"/>
      <c r="M38" s="90"/>
      <c r="N38" s="90"/>
    </row>
    <row r="39" spans="1:14" ht="16" customHeight="1">
      <c r="A39" s="375" t="s">
        <v>274</v>
      </c>
      <c r="B39" s="387">
        <f xml:space="preserve"> IF(B9="oui",B111,IF(B12="Oui",B111,IF(AND(B11="Oui",B8="Intérimaire",B10&lt;&gt;"Oui"),B111,IF(AND(B11="Oui",B8="Permanent"),B113,IF(AND(B10="Oui",B8="Intérimaire",B13="&lt; Bac"),B115,IF(AND(B10="Oui",B8="Intérimaire"),B114,IF(B8="Intérimaire",B112,B113)))))))</f>
        <v>20</v>
      </c>
      <c r="C39" s="268"/>
      <c r="D39" s="266"/>
      <c r="E39" s="267"/>
      <c r="F39" s="267"/>
      <c r="G39" s="195"/>
      <c r="H39" s="154"/>
      <c r="I39" s="154"/>
      <c r="J39" s="154"/>
      <c r="K39" s="90"/>
      <c r="L39" s="90"/>
      <c r="M39" s="90"/>
      <c r="N39" s="90"/>
    </row>
    <row r="40" spans="1:14" ht="20.5" hidden="1" customHeight="1">
      <c r="A40" s="318" t="s">
        <v>274</v>
      </c>
      <c r="B40" s="319">
        <f>IF(B9="oui",B111,IF(B8="Intérimaire",B112,IF(B11="Oui",B114,B113)))</f>
        <v>20</v>
      </c>
      <c r="C40" s="262" t="str">
        <f>IF(B8="Permanent CDI",#REF!,E40)</f>
        <v/>
      </c>
      <c r="D40" s="133">
        <f>IF(B9="Oui",B111,B107)</f>
        <v>17</v>
      </c>
      <c r="E40" s="134" t="str">
        <f>IF(B8="","",D40)</f>
        <v/>
      </c>
      <c r="F40" s="115" t="str">
        <f>IF(C41="",E40,C41)</f>
        <v/>
      </c>
      <c r="G40" s="154"/>
      <c r="H40" s="154"/>
      <c r="I40" s="154"/>
      <c r="J40" s="154"/>
      <c r="K40" s="90"/>
      <c r="L40" s="90"/>
      <c r="M40" s="90"/>
      <c r="N40" s="90"/>
    </row>
    <row r="41" spans="1:14">
      <c r="A41" s="135"/>
      <c r="B41" s="136"/>
      <c r="C41" s="269" t="str">
        <f>IF(B8="Permanent CDD",#REF!,"")</f>
        <v/>
      </c>
      <c r="D41" s="133"/>
      <c r="E41" s="134"/>
      <c r="F41" s="115"/>
      <c r="G41" s="154"/>
      <c r="H41" s="154"/>
      <c r="I41" s="154"/>
      <c r="J41" s="154"/>
      <c r="K41" s="90"/>
      <c r="L41" s="90"/>
      <c r="M41" s="90"/>
      <c r="N41" s="90"/>
    </row>
    <row r="42" spans="1:14" ht="22.5">
      <c r="A42" s="138" t="s">
        <v>212</v>
      </c>
      <c r="B42" s="139"/>
      <c r="C42" s="140"/>
      <c r="D42" s="141"/>
      <c r="E42" s="161"/>
      <c r="F42" s="154"/>
      <c r="G42" s="154"/>
      <c r="H42" s="154"/>
      <c r="I42" s="154"/>
      <c r="J42" s="154"/>
      <c r="K42" s="90"/>
      <c r="L42" s="90"/>
      <c r="M42" s="90"/>
      <c r="N42" s="90"/>
    </row>
    <row r="43" spans="1:14" ht="19">
      <c r="A43" s="318" t="s">
        <v>193</v>
      </c>
      <c r="B43" s="344" t="e">
        <f>IF(B8="Intérimaire",G8*B19,F8*B19)</f>
        <v>#VALUE!</v>
      </c>
      <c r="C43" s="142"/>
      <c r="D43" s="141"/>
      <c r="E43" s="161"/>
      <c r="F43" s="154"/>
      <c r="G43" s="154"/>
      <c r="H43" s="154"/>
      <c r="I43" s="154"/>
      <c r="J43" s="154"/>
      <c r="K43" s="90"/>
      <c r="L43" s="90"/>
      <c r="M43" s="90"/>
      <c r="N43" s="90"/>
    </row>
    <row r="44" spans="1:14" ht="19">
      <c r="A44" s="318" t="s">
        <v>195</v>
      </c>
      <c r="B44" s="344" t="e">
        <f>IF(B8="Intérimaire",H14*B38,F8*B38)</f>
        <v>#VALUE!</v>
      </c>
      <c r="C44" s="142"/>
      <c r="D44" s="141"/>
      <c r="E44" s="161"/>
      <c r="F44" s="154"/>
      <c r="G44" s="154"/>
      <c r="H44" s="154"/>
      <c r="I44" s="154"/>
      <c r="J44" s="154"/>
      <c r="K44" s="90"/>
      <c r="L44" s="90"/>
      <c r="M44" s="90"/>
      <c r="N44" s="90"/>
    </row>
    <row r="45" spans="1:14" ht="19">
      <c r="A45" s="345" t="s">
        <v>194</v>
      </c>
      <c r="B45" s="346" t="e">
        <f>B43+B44</f>
        <v>#VALUE!</v>
      </c>
      <c r="C45" s="142"/>
      <c r="D45" s="141"/>
      <c r="E45" s="161"/>
      <c r="F45" s="154"/>
      <c r="G45" s="154"/>
      <c r="H45" s="154"/>
      <c r="I45" s="154"/>
      <c r="J45" s="154"/>
      <c r="K45" s="90"/>
      <c r="L45" s="90"/>
      <c r="M45" s="90"/>
      <c r="N45" s="90"/>
    </row>
    <row r="46" spans="1:14" ht="19">
      <c r="A46" s="143"/>
      <c r="B46" s="144"/>
      <c r="C46" s="145"/>
      <c r="D46" s="141"/>
      <c r="E46" s="161"/>
      <c r="F46" s="154"/>
      <c r="G46" s="154"/>
      <c r="H46" s="154"/>
      <c r="I46" s="154"/>
      <c r="J46" s="154"/>
      <c r="K46" s="90"/>
      <c r="L46" s="90"/>
      <c r="M46" s="90"/>
      <c r="N46" s="90"/>
    </row>
    <row r="47" spans="1:14" ht="22.5" hidden="1">
      <c r="A47" s="146"/>
      <c r="B47" s="147"/>
      <c r="C47" s="147"/>
      <c r="D47" s="147"/>
      <c r="E47" s="148"/>
      <c r="F47" s="125"/>
      <c r="G47" s="125"/>
      <c r="H47" s="125"/>
      <c r="I47" s="125"/>
      <c r="J47" s="88"/>
      <c r="K47" s="90"/>
      <c r="L47" s="90"/>
      <c r="M47" s="90"/>
      <c r="N47" s="90"/>
    </row>
    <row r="48" spans="1:14" ht="22.5">
      <c r="A48" s="149" t="s">
        <v>245</v>
      </c>
      <c r="B48" s="150" t="s">
        <v>0</v>
      </c>
      <c r="C48" s="151" t="s">
        <v>1</v>
      </c>
      <c r="D48" s="151" t="s">
        <v>2</v>
      </c>
      <c r="E48" s="150" t="s">
        <v>204</v>
      </c>
      <c r="F48" s="152" t="s">
        <v>205</v>
      </c>
      <c r="G48" s="125"/>
      <c r="H48" s="125"/>
      <c r="I48" s="125"/>
      <c r="J48" s="88"/>
      <c r="K48" s="90"/>
      <c r="L48" s="90"/>
      <c r="M48" s="90"/>
      <c r="N48" s="90"/>
    </row>
    <row r="49" spans="1:14" ht="19">
      <c r="A49" s="317" t="s">
        <v>19</v>
      </c>
      <c r="B49" s="347">
        <f>I26</f>
        <v>0</v>
      </c>
      <c r="C49" s="344">
        <f>B26</f>
        <v>0</v>
      </c>
      <c r="D49" s="348">
        <f>C49*I26</f>
        <v>0</v>
      </c>
      <c r="E49" s="349">
        <f>D26*B26</f>
        <v>0</v>
      </c>
      <c r="F49" s="349">
        <f>G26*B26</f>
        <v>0</v>
      </c>
      <c r="G49" s="125"/>
      <c r="H49" s="125"/>
      <c r="I49" s="125"/>
      <c r="J49" s="88"/>
      <c r="K49" s="90"/>
      <c r="L49" s="90"/>
      <c r="M49" s="90"/>
      <c r="N49" s="90"/>
    </row>
    <row r="50" spans="1:14" ht="19">
      <c r="A50" s="317" t="s">
        <v>20</v>
      </c>
      <c r="B50" s="347">
        <f>I27</f>
        <v>0</v>
      </c>
      <c r="C50" s="344">
        <f>B27</f>
        <v>0</v>
      </c>
      <c r="D50" s="348">
        <f>C50*I27</f>
        <v>0</v>
      </c>
      <c r="E50" s="349">
        <f>D27*B27</f>
        <v>0</v>
      </c>
      <c r="F50" s="349">
        <f>G27*B27</f>
        <v>0</v>
      </c>
      <c r="G50" s="125"/>
      <c r="H50" s="125"/>
      <c r="I50" s="125"/>
      <c r="J50" s="88"/>
      <c r="K50" s="90"/>
      <c r="L50" s="90"/>
      <c r="M50" s="90"/>
      <c r="N50" s="90"/>
    </row>
    <row r="51" spans="1:14" ht="19">
      <c r="A51" s="317" t="s">
        <v>21</v>
      </c>
      <c r="B51" s="347">
        <f>I28</f>
        <v>0</v>
      </c>
      <c r="C51" s="346">
        <f>B28</f>
        <v>0</v>
      </c>
      <c r="D51" s="348">
        <f>C51*I28</f>
        <v>0</v>
      </c>
      <c r="E51" s="349">
        <f>D28*B28</f>
        <v>0</v>
      </c>
      <c r="F51" s="349">
        <f>G28*B28</f>
        <v>0</v>
      </c>
      <c r="G51" s="125"/>
      <c r="H51" s="125"/>
      <c r="I51" s="125"/>
      <c r="J51" s="88"/>
      <c r="K51" s="90"/>
      <c r="L51" s="90"/>
      <c r="M51" s="90"/>
      <c r="N51" s="90"/>
    </row>
    <row r="52" spans="1:14" ht="19">
      <c r="A52" s="350" t="s">
        <v>22</v>
      </c>
      <c r="B52" s="347">
        <f>I29</f>
        <v>0</v>
      </c>
      <c r="C52" s="344">
        <f>B29</f>
        <v>0</v>
      </c>
      <c r="D52" s="348">
        <f>C52*I29</f>
        <v>0</v>
      </c>
      <c r="E52" s="349">
        <f>D29*B29</f>
        <v>0</v>
      </c>
      <c r="F52" s="349">
        <f>B52*B29</f>
        <v>0</v>
      </c>
      <c r="G52" s="125"/>
      <c r="H52" s="125"/>
      <c r="I52" s="125"/>
      <c r="J52" s="88"/>
      <c r="K52" s="90"/>
      <c r="L52" s="90"/>
      <c r="M52" s="90"/>
      <c r="N52" s="90"/>
    </row>
    <row r="53" spans="1:14" ht="19">
      <c r="A53" s="153"/>
      <c r="B53" s="154"/>
      <c r="C53" s="338" t="s">
        <v>242</v>
      </c>
      <c r="D53" s="348">
        <f>SUM(D47:D52)</f>
        <v>0</v>
      </c>
      <c r="E53" s="349">
        <f>E49+E50+E51+E52</f>
        <v>0</v>
      </c>
      <c r="F53" s="349">
        <f>F49+F50+F51+F52</f>
        <v>0</v>
      </c>
      <c r="G53" s="125"/>
      <c r="H53" s="125"/>
      <c r="I53" s="125"/>
      <c r="J53" s="88"/>
      <c r="K53" s="90"/>
      <c r="L53" s="90"/>
      <c r="M53" s="90"/>
      <c r="N53" s="90"/>
    </row>
    <row r="54" spans="1:14" ht="19" hidden="1">
      <c r="A54" s="155"/>
      <c r="B54" s="156"/>
      <c r="C54" s="145"/>
      <c r="D54" s="141"/>
      <c r="E54" s="137"/>
      <c r="F54" s="125"/>
      <c r="G54" s="125"/>
      <c r="H54" s="125"/>
      <c r="I54" s="125"/>
      <c r="J54" s="88"/>
      <c r="K54" s="90"/>
      <c r="L54" s="90"/>
      <c r="M54" s="90"/>
      <c r="N54" s="90"/>
    </row>
    <row r="55" spans="1:14" ht="19" hidden="1">
      <c r="A55" s="155"/>
      <c r="B55" s="156"/>
      <c r="C55" s="145"/>
      <c r="D55" s="141"/>
      <c r="E55" s="137"/>
      <c r="F55" s="125"/>
      <c r="G55" s="125"/>
      <c r="H55" s="125"/>
      <c r="I55" s="125"/>
      <c r="J55" s="88"/>
      <c r="K55" s="90"/>
      <c r="L55" s="90"/>
      <c r="M55" s="90"/>
      <c r="N55" s="90"/>
    </row>
    <row r="56" spans="1:14">
      <c r="A56" s="157"/>
      <c r="B56" s="158"/>
      <c r="C56" s="159"/>
      <c r="D56" s="133"/>
      <c r="E56" s="134"/>
      <c r="F56" s="115"/>
      <c r="G56" s="115"/>
      <c r="H56" s="125"/>
      <c r="I56" s="125"/>
      <c r="J56" s="88"/>
      <c r="K56" s="90"/>
      <c r="L56" s="90"/>
      <c r="M56" s="90"/>
      <c r="N56" s="90"/>
    </row>
    <row r="57" spans="1:14" ht="22.5">
      <c r="A57" s="138" t="s">
        <v>263</v>
      </c>
      <c r="B57" s="139"/>
      <c r="C57" s="139"/>
      <c r="D57" s="133"/>
      <c r="E57" s="134"/>
      <c r="F57" s="115"/>
      <c r="G57" s="115"/>
      <c r="H57" s="125"/>
      <c r="I57" s="125"/>
      <c r="J57" s="88"/>
      <c r="K57" s="90"/>
      <c r="L57" s="90"/>
      <c r="M57" s="90"/>
      <c r="N57" s="90"/>
    </row>
    <row r="58" spans="1:14" ht="19">
      <c r="A58" s="318" t="s">
        <v>275</v>
      </c>
      <c r="B58" s="379" t="e">
        <f>IF(B8="Intérimaire",G13*B19, F13*B19)</f>
        <v>#VALUE!</v>
      </c>
      <c r="C58" s="380"/>
      <c r="D58" s="133"/>
      <c r="E58" s="134"/>
      <c r="F58" s="115"/>
      <c r="G58" s="115"/>
      <c r="H58" s="125"/>
      <c r="I58" s="125"/>
      <c r="J58" s="88"/>
      <c r="K58" s="90"/>
      <c r="L58" s="90"/>
      <c r="M58" s="90"/>
      <c r="N58" s="90"/>
    </row>
    <row r="59" spans="1:14" ht="19" hidden="1">
      <c r="A59" s="318" t="s">
        <v>201</v>
      </c>
      <c r="B59" s="381" t="e">
        <f>B58</f>
        <v>#VALUE!</v>
      </c>
      <c r="C59" s="380"/>
      <c r="D59" s="160"/>
      <c r="E59" s="161"/>
      <c r="F59" s="154"/>
      <c r="G59" s="154"/>
      <c r="H59" s="154"/>
      <c r="I59" s="154"/>
      <c r="J59" s="88"/>
      <c r="K59" s="90"/>
      <c r="L59" s="90"/>
      <c r="M59" s="90"/>
      <c r="N59" s="90"/>
    </row>
    <row r="60" spans="1:14" ht="19">
      <c r="A60" s="318" t="s">
        <v>199</v>
      </c>
      <c r="B60" s="379">
        <f>B24</f>
        <v>0</v>
      </c>
      <c r="C60" s="380"/>
      <c r="D60" s="133"/>
      <c r="E60" s="134"/>
      <c r="F60" s="115"/>
      <c r="G60" s="115"/>
      <c r="H60" s="125"/>
      <c r="I60" s="125"/>
      <c r="J60" s="88"/>
      <c r="K60" s="90"/>
      <c r="L60" s="90"/>
      <c r="M60" s="90"/>
      <c r="N60" s="90"/>
    </row>
    <row r="61" spans="1:14" ht="19">
      <c r="A61" s="318" t="s">
        <v>200</v>
      </c>
      <c r="B61" s="379">
        <f>E53</f>
        <v>0</v>
      </c>
      <c r="C61" s="380"/>
      <c r="D61" s="160"/>
      <c r="E61" s="161"/>
      <c r="F61" s="154"/>
      <c r="G61" s="154"/>
      <c r="H61" s="154"/>
      <c r="I61" s="154"/>
      <c r="J61" s="88"/>
      <c r="K61" s="90"/>
      <c r="L61" s="90"/>
      <c r="M61" s="90"/>
      <c r="N61" s="90"/>
    </row>
    <row r="62" spans="1:14" ht="19">
      <c r="A62" s="351" t="s">
        <v>252</v>
      </c>
      <c r="B62" s="353" t="e">
        <f>B59+B60+B61</f>
        <v>#VALUE!</v>
      </c>
      <c r="C62" s="354"/>
      <c r="D62" s="160"/>
      <c r="E62" s="161"/>
      <c r="F62" s="154"/>
      <c r="G62" s="154"/>
      <c r="H62" s="154"/>
      <c r="I62" s="154"/>
      <c r="J62" s="88"/>
      <c r="K62" s="90"/>
      <c r="L62" s="90"/>
      <c r="M62" s="90"/>
      <c r="N62" s="90"/>
    </row>
    <row r="63" spans="1:14">
      <c r="A63" s="162"/>
      <c r="B63" s="163"/>
      <c r="C63" s="136"/>
      <c r="D63" s="160"/>
      <c r="E63" s="161"/>
      <c r="F63" s="154"/>
      <c r="G63" s="154"/>
      <c r="H63" s="154"/>
      <c r="I63" s="154"/>
      <c r="J63" s="88"/>
      <c r="K63" s="90"/>
      <c r="L63" s="90"/>
      <c r="M63" s="90"/>
      <c r="N63" s="90"/>
    </row>
    <row r="64" spans="1:14" ht="23" thickBot="1">
      <c r="A64" s="398" t="s">
        <v>213</v>
      </c>
      <c r="B64" s="398"/>
      <c r="C64" s="398"/>
      <c r="D64" s="160"/>
      <c r="E64" s="161"/>
      <c r="F64" s="154"/>
      <c r="G64" s="154"/>
      <c r="H64" s="154"/>
      <c r="I64" s="154"/>
      <c r="J64" s="88"/>
      <c r="K64" s="90"/>
      <c r="L64" s="90"/>
      <c r="M64" s="90"/>
      <c r="N64" s="90"/>
    </row>
    <row r="65" spans="1:14" ht="19.5" thickBot="1">
      <c r="A65" s="164" t="s">
        <v>175</v>
      </c>
      <c r="B65" s="165" t="s">
        <v>176</v>
      </c>
      <c r="C65" s="166" t="s">
        <v>174</v>
      </c>
      <c r="D65" s="167"/>
      <c r="E65" s="168"/>
      <c r="F65" s="169"/>
      <c r="G65" s="169"/>
      <c r="H65" s="170"/>
      <c r="I65" s="154"/>
      <c r="J65" s="88"/>
      <c r="K65" s="90"/>
      <c r="L65" s="90"/>
      <c r="M65" s="90"/>
      <c r="N65" s="90"/>
    </row>
    <row r="66" spans="1:14" ht="19">
      <c r="A66" s="361" t="s">
        <v>169</v>
      </c>
      <c r="B66" s="382" t="e">
        <f>IF(B8="Intérimaire",G8*B19+H14*B38,F8*B21)</f>
        <v>#VALUE!</v>
      </c>
      <c r="C66" s="383" t="e">
        <f>(B66)/B69</f>
        <v>#VALUE!</v>
      </c>
      <c r="D66" s="167"/>
      <c r="E66" s="169"/>
      <c r="F66" s="169">
        <f>B19/B20</f>
        <v>0</v>
      </c>
      <c r="G66" s="169"/>
      <c r="H66" s="171"/>
      <c r="I66" s="154"/>
      <c r="J66" s="88"/>
      <c r="K66" s="90"/>
      <c r="L66" s="90"/>
      <c r="M66" s="90"/>
      <c r="N66" s="90"/>
    </row>
    <row r="67" spans="1:14" ht="19">
      <c r="A67" s="350" t="s">
        <v>168</v>
      </c>
      <c r="B67" s="384">
        <f>D53</f>
        <v>0</v>
      </c>
      <c r="C67" s="385" t="e">
        <f>(B67)/B69</f>
        <v>#VALUE!</v>
      </c>
      <c r="D67" s="358" t="s">
        <v>196</v>
      </c>
      <c r="E67" s="359">
        <f>E53</f>
        <v>0</v>
      </c>
      <c r="F67" s="360" t="s">
        <v>197</v>
      </c>
      <c r="G67" s="359">
        <f>F53</f>
        <v>0</v>
      </c>
      <c r="H67" s="171"/>
      <c r="I67" s="154"/>
      <c r="J67" s="88"/>
      <c r="K67" s="90"/>
      <c r="L67" s="90"/>
      <c r="M67" s="90"/>
      <c r="N67" s="90"/>
    </row>
    <row r="68" spans="1:14" ht="19">
      <c r="A68" s="350" t="s">
        <v>167</v>
      </c>
      <c r="B68" s="384">
        <f>B24</f>
        <v>0</v>
      </c>
      <c r="C68" s="385" t="e">
        <f>(B68)/B69</f>
        <v>#VALUE!</v>
      </c>
      <c r="D68" s="172"/>
      <c r="E68" s="171"/>
      <c r="F68" s="171"/>
      <c r="G68" s="171"/>
      <c r="H68" s="171"/>
      <c r="I68" s="154"/>
      <c r="J68" s="88"/>
      <c r="K68" s="90"/>
      <c r="L68" s="90"/>
      <c r="M68" s="90"/>
      <c r="N68" s="90"/>
    </row>
    <row r="69" spans="1:14" ht="19.5" thickBot="1">
      <c r="A69" s="355" t="s">
        <v>170</v>
      </c>
      <c r="B69" s="356" t="e">
        <f>B66+B67+B68</f>
        <v>#VALUE!</v>
      </c>
      <c r="C69" s="357" t="e">
        <f>(B69)/B69</f>
        <v>#VALUE!</v>
      </c>
      <c r="D69" s="172"/>
      <c r="E69" s="171"/>
      <c r="F69" s="171"/>
      <c r="G69" s="171"/>
      <c r="H69" s="171"/>
      <c r="I69" s="154"/>
      <c r="J69" s="88"/>
      <c r="K69" s="90"/>
      <c r="L69" s="90"/>
      <c r="M69" s="90"/>
      <c r="N69" s="90"/>
    </row>
    <row r="70" spans="1:14" ht="19.5" thickBot="1">
      <c r="A70" s="173" t="s">
        <v>177</v>
      </c>
      <c r="B70" s="174"/>
      <c r="C70" s="166" t="s">
        <v>174</v>
      </c>
      <c r="D70" s="172"/>
      <c r="E70" s="171"/>
      <c r="F70" s="171"/>
      <c r="G70" s="171"/>
      <c r="H70" s="171"/>
      <c r="I70" s="154"/>
      <c r="J70" s="88"/>
      <c r="K70" s="90"/>
      <c r="L70" s="90"/>
      <c r="M70" s="90"/>
      <c r="N70" s="90"/>
    </row>
    <row r="71" spans="1:14" ht="19">
      <c r="A71" s="361" t="s">
        <v>280</v>
      </c>
      <c r="B71" s="389">
        <f>IF(B8="Permanent",B40*B19,D71)</f>
        <v>0</v>
      </c>
      <c r="C71" s="383" t="e">
        <f>B71/B69</f>
        <v>#VALUE!</v>
      </c>
      <c r="D71" s="167">
        <f>B37*B40</f>
        <v>0</v>
      </c>
      <c r="E71" s="288" t="e">
        <f>IF(B72&gt;G72,"Attention, montant maximum de financement du surcoût possible  indiqué ci-dessous","")</f>
        <v>#VALUE!</v>
      </c>
      <c r="F71" s="288"/>
      <c r="G71" s="88"/>
      <c r="H71" s="171"/>
      <c r="I71" s="154"/>
      <c r="J71" s="88"/>
      <c r="K71" s="90"/>
      <c r="L71" s="90"/>
      <c r="M71" s="90"/>
      <c r="N71" s="90"/>
    </row>
    <row r="72" spans="1:14" ht="19">
      <c r="A72" s="318" t="s">
        <v>281</v>
      </c>
      <c r="B72" s="344"/>
      <c r="C72" s="385" t="e">
        <f>(B72)/B69</f>
        <v>#VALUE!</v>
      </c>
      <c r="D72" s="399" t="s">
        <v>279</v>
      </c>
      <c r="E72" s="408"/>
      <c r="F72" s="364"/>
      <c r="G72" s="365" t="e">
        <f>B62-B71</f>
        <v>#VALUE!</v>
      </c>
      <c r="H72" s="366" t="s">
        <v>264</v>
      </c>
      <c r="I72" s="367">
        <f>F53</f>
        <v>0</v>
      </c>
      <c r="J72" s="88"/>
      <c r="K72" s="90"/>
      <c r="L72" s="90"/>
      <c r="M72" s="90"/>
      <c r="N72" s="90"/>
    </row>
    <row r="73" spans="1:14" ht="19">
      <c r="A73" s="318" t="s">
        <v>172</v>
      </c>
      <c r="B73" s="344"/>
      <c r="C73" s="385" t="e">
        <f>(B73)/B69</f>
        <v>#VALUE!</v>
      </c>
      <c r="D73" s="352" t="s">
        <v>188</v>
      </c>
      <c r="E73" s="368" t="e">
        <f>B38*(B32*B34)-(B38*H14)</f>
        <v>#VALUE!</v>
      </c>
      <c r="F73" s="405" t="s">
        <v>202</v>
      </c>
      <c r="G73" s="405"/>
      <c r="H73" s="349" t="e">
        <f>IF(B8="Intérimaire",G8*B19,F8*B19)</f>
        <v>#VALUE!</v>
      </c>
      <c r="I73" s="175"/>
      <c r="J73" s="154"/>
      <c r="K73" s="176"/>
      <c r="L73" s="90"/>
      <c r="M73" s="90"/>
      <c r="N73" s="90"/>
    </row>
    <row r="74" spans="1:14" ht="19.5" thickBot="1">
      <c r="A74" s="362" t="s">
        <v>173</v>
      </c>
      <c r="B74" s="363">
        <f>B71+B72+B73</f>
        <v>0</v>
      </c>
      <c r="C74" s="357" t="e">
        <f>(B74)/B69</f>
        <v>#VALUE!</v>
      </c>
      <c r="D74" s="318" t="s">
        <v>189</v>
      </c>
      <c r="E74" s="349" t="e">
        <f>B74-B69</f>
        <v>#VALUE!</v>
      </c>
      <c r="F74" s="177"/>
      <c r="G74" s="178"/>
      <c r="H74" s="171"/>
      <c r="I74" s="175"/>
      <c r="J74" s="88"/>
      <c r="K74" s="90"/>
      <c r="L74" s="90"/>
      <c r="M74" s="90"/>
      <c r="N74" s="90"/>
    </row>
    <row r="75" spans="1:14" ht="19">
      <c r="A75" s="179"/>
      <c r="B75" s="180"/>
      <c r="C75" s="181"/>
      <c r="D75" s="182"/>
      <c r="E75" s="183"/>
      <c r="F75" s="183"/>
      <c r="G75" s="184"/>
      <c r="H75" s="125"/>
      <c r="I75" s="175"/>
      <c r="J75" s="88"/>
      <c r="K75" s="90"/>
      <c r="L75" s="90"/>
      <c r="M75" s="90"/>
      <c r="N75" s="90"/>
    </row>
    <row r="76" spans="1:14" ht="19.5" thickBot="1">
      <c r="A76" s="369" t="s">
        <v>183</v>
      </c>
      <c r="B76" s="370" t="e">
        <f>B74-B69</f>
        <v>#VALUE!</v>
      </c>
      <c r="C76" s="371" t="e">
        <f>(B76)/B69</f>
        <v>#VALUE!</v>
      </c>
      <c r="D76" s="185"/>
      <c r="E76" s="183"/>
      <c r="F76" s="183"/>
      <c r="G76" s="184"/>
      <c r="H76" s="125"/>
      <c r="I76" s="175"/>
      <c r="J76" s="88"/>
      <c r="K76" s="90"/>
      <c r="L76" s="90"/>
      <c r="M76" s="90"/>
      <c r="N76" s="90"/>
    </row>
    <row r="77" spans="1:14" ht="15.5" thickTop="1">
      <c r="A77" s="186"/>
      <c r="B77" s="187"/>
      <c r="C77" s="188"/>
      <c r="D77" s="189"/>
      <c r="E77" s="190"/>
      <c r="F77" s="183"/>
      <c r="G77" s="191" t="str">
        <f>IF(B9="Oui",0,IF(B9="Non",1,""))</f>
        <v/>
      </c>
      <c r="H77" s="184"/>
      <c r="I77" s="154"/>
      <c r="J77" s="88"/>
      <c r="K77" s="90"/>
      <c r="L77" s="90"/>
      <c r="M77" s="90"/>
      <c r="N77" s="90"/>
    </row>
    <row r="78" spans="1:14" ht="30" hidden="1" customHeight="1">
      <c r="A78" s="409" t="s">
        <v>185</v>
      </c>
      <c r="B78" s="409"/>
      <c r="C78" s="192" t="s">
        <v>184</v>
      </c>
      <c r="D78" s="160"/>
      <c r="E78" s="160"/>
      <c r="F78" s="154"/>
      <c r="G78" s="154"/>
      <c r="H78" s="154"/>
      <c r="I78" s="154"/>
      <c r="J78" s="88"/>
      <c r="K78" s="90"/>
      <c r="L78" s="90"/>
      <c r="M78" s="90"/>
      <c r="N78" s="90"/>
    </row>
    <row r="79" spans="1:14" hidden="1">
      <c r="A79" s="193" t="s">
        <v>46</v>
      </c>
      <c r="B79" s="410"/>
      <c r="C79" s="411"/>
      <c r="D79" s="194"/>
      <c r="E79" s="406"/>
      <c r="F79" s="406"/>
      <c r="G79" s="406"/>
      <c r="H79" s="154"/>
      <c r="I79" s="154"/>
      <c r="J79" s="88"/>
      <c r="K79" s="90"/>
      <c r="L79" s="90"/>
      <c r="M79" s="90"/>
      <c r="N79" s="90"/>
    </row>
    <row r="80" spans="1:14" ht="15.5" hidden="1" thickBot="1">
      <c r="A80" s="196" t="s">
        <v>164</v>
      </c>
      <c r="B80" s="197"/>
      <c r="C80" s="198"/>
      <c r="D80" s="160"/>
      <c r="E80" s="161"/>
      <c r="F80" s="154"/>
      <c r="G80" s="154"/>
      <c r="H80" s="154"/>
      <c r="I80" s="154"/>
      <c r="J80" s="88"/>
      <c r="K80" s="90"/>
      <c r="L80" s="90"/>
      <c r="M80" s="90"/>
      <c r="N80" s="90"/>
    </row>
    <row r="81" spans="1:14" ht="19.5" hidden="1" thickBot="1">
      <c r="A81" s="199" t="s">
        <v>175</v>
      </c>
      <c r="B81" s="200" t="s">
        <v>176</v>
      </c>
      <c r="C81" s="201" t="s">
        <v>174</v>
      </c>
      <c r="D81" s="160"/>
      <c r="E81" s="161"/>
      <c r="F81" s="154"/>
      <c r="G81" s="154"/>
      <c r="H81" s="154"/>
      <c r="I81" s="154"/>
      <c r="J81" s="88"/>
      <c r="K81" s="90"/>
      <c r="L81" s="90"/>
      <c r="M81" s="90"/>
      <c r="N81" s="90"/>
    </row>
    <row r="82" spans="1:14" hidden="1">
      <c r="A82" s="202" t="s">
        <v>47</v>
      </c>
      <c r="B82" s="203" t="str">
        <f>IF(B8="Permanent",#REF!*B79,IF(B8="Intérimaire",#REF!*B79,""))</f>
        <v/>
      </c>
      <c r="C82" s="204" t="e">
        <f>(B82)/B85</f>
        <v>#VALUE!</v>
      </c>
      <c r="D82" s="160"/>
      <c r="E82" s="205"/>
      <c r="F82" s="205"/>
      <c r="G82" s="154"/>
      <c r="H82" s="154"/>
      <c r="I82" s="154"/>
      <c r="J82" s="88"/>
      <c r="K82" s="90"/>
      <c r="L82" s="90"/>
      <c r="M82" s="90"/>
      <c r="N82" s="90"/>
    </row>
    <row r="83" spans="1:14" hidden="1">
      <c r="A83" s="206" t="s">
        <v>48</v>
      </c>
      <c r="B83" s="207"/>
      <c r="C83" s="204" t="e">
        <f>(B83)/B85</f>
        <v>#VALUE!</v>
      </c>
      <c r="D83" s="160"/>
      <c r="E83" s="205"/>
      <c r="F83" s="205"/>
      <c r="G83" s="154"/>
      <c r="H83" s="154"/>
      <c r="I83" s="154"/>
      <c r="J83" s="88"/>
      <c r="K83" s="90"/>
      <c r="L83" s="90"/>
      <c r="M83" s="90"/>
      <c r="N83" s="90"/>
    </row>
    <row r="84" spans="1:14" ht="15.5" hidden="1" thickBot="1">
      <c r="A84" s="208" t="s">
        <v>190</v>
      </c>
      <c r="B84" s="209"/>
      <c r="C84" s="204" t="e">
        <f>(B84)/B85</f>
        <v>#VALUE!</v>
      </c>
      <c r="D84" s="160"/>
      <c r="E84" s="205"/>
      <c r="F84" s="205"/>
      <c r="G84" s="154"/>
      <c r="H84" s="154"/>
      <c r="I84" s="154"/>
      <c r="J84" s="88"/>
      <c r="K84" s="90"/>
      <c r="L84" s="90"/>
      <c r="M84" s="90"/>
      <c r="N84" s="90"/>
    </row>
    <row r="85" spans="1:14" ht="16.5" hidden="1" customHeight="1" thickBot="1">
      <c r="A85" s="210" t="s">
        <v>178</v>
      </c>
      <c r="B85" s="211" t="e">
        <f>B82+B83+B84</f>
        <v>#VALUE!</v>
      </c>
      <c r="C85" s="212" t="e">
        <f>(B85)/B85</f>
        <v>#VALUE!</v>
      </c>
      <c r="D85" s="160"/>
      <c r="E85" s="414" t="s">
        <v>215</v>
      </c>
      <c r="F85" s="415"/>
      <c r="G85" s="416"/>
      <c r="H85" s="213"/>
      <c r="I85" s="154"/>
      <c r="J85" s="88"/>
      <c r="K85" s="90"/>
      <c r="L85" s="90"/>
      <c r="M85" s="90"/>
      <c r="N85" s="90"/>
    </row>
    <row r="86" spans="1:14" ht="19.5" hidden="1" thickBot="1">
      <c r="A86" s="214" t="s">
        <v>177</v>
      </c>
      <c r="B86" s="200" t="s">
        <v>176</v>
      </c>
      <c r="C86" s="201" t="s">
        <v>174</v>
      </c>
      <c r="D86" s="160"/>
      <c r="E86" s="417"/>
      <c r="F86" s="418"/>
      <c r="G86" s="419"/>
      <c r="H86" s="213"/>
      <c r="I86" s="154"/>
      <c r="J86" s="88"/>
      <c r="K86" s="90"/>
      <c r="L86" s="90"/>
      <c r="M86" s="90"/>
      <c r="N86" s="90"/>
    </row>
    <row r="87" spans="1:14" hidden="1">
      <c r="A87" s="215" t="s">
        <v>165</v>
      </c>
      <c r="B87" s="216"/>
      <c r="C87" s="217" t="e">
        <f>(B87)/B85</f>
        <v>#VALUE!</v>
      </c>
      <c r="D87" s="160"/>
      <c r="E87" s="417"/>
      <c r="F87" s="418"/>
      <c r="G87" s="419"/>
      <c r="H87" s="213"/>
      <c r="I87" s="154"/>
      <c r="J87" s="88"/>
      <c r="K87" s="90"/>
      <c r="L87" s="90"/>
      <c r="M87" s="90"/>
      <c r="N87" s="90"/>
    </row>
    <row r="88" spans="1:14" ht="15.5" hidden="1" thickBot="1">
      <c r="A88" s="206" t="s">
        <v>182</v>
      </c>
      <c r="B88" s="218"/>
      <c r="C88" s="219" t="e">
        <f>(B88)/B85</f>
        <v>#VALUE!</v>
      </c>
      <c r="D88" s="160"/>
      <c r="E88" s="420"/>
      <c r="F88" s="421"/>
      <c r="G88" s="422"/>
      <c r="H88" s="213"/>
      <c r="I88" s="154"/>
      <c r="J88" s="88"/>
      <c r="K88" s="90"/>
      <c r="L88" s="90"/>
      <c r="M88" s="90"/>
      <c r="N88" s="90"/>
    </row>
    <row r="89" spans="1:14" hidden="1">
      <c r="A89" s="220" t="s">
        <v>214</v>
      </c>
      <c r="B89" s="221"/>
      <c r="C89" s="219" t="e">
        <f>(B89)/B85</f>
        <v>#VALUE!</v>
      </c>
      <c r="D89" s="160"/>
      <c r="E89" s="213"/>
      <c r="F89" s="213"/>
      <c r="G89" s="213"/>
      <c r="H89" s="213"/>
      <c r="I89" s="154"/>
      <c r="J89" s="88"/>
      <c r="K89" s="90"/>
      <c r="L89" s="90"/>
      <c r="M89" s="90"/>
      <c r="N89" s="90"/>
    </row>
    <row r="90" spans="1:14" hidden="1">
      <c r="A90" s="222" t="s">
        <v>191</v>
      </c>
      <c r="B90" s="221"/>
      <c r="C90" s="219" t="e">
        <f>(B90)/B85</f>
        <v>#VALUE!</v>
      </c>
      <c r="D90" s="160"/>
      <c r="E90" s="154"/>
      <c r="F90" s="154"/>
      <c r="G90" s="154"/>
      <c r="H90" s="154"/>
      <c r="I90" s="154"/>
      <c r="J90" s="88"/>
      <c r="K90" s="90"/>
      <c r="L90" s="90"/>
      <c r="M90" s="90"/>
      <c r="N90" s="90"/>
    </row>
    <row r="91" spans="1:14" ht="15.5" hidden="1" thickBot="1">
      <c r="A91" s="223" t="s">
        <v>166</v>
      </c>
      <c r="B91" s="224">
        <f>B87+B88+B89+B90</f>
        <v>0</v>
      </c>
      <c r="C91" s="225" t="e">
        <f>(B91)/B85</f>
        <v>#VALUE!</v>
      </c>
      <c r="D91" s="160"/>
      <c r="E91" s="154"/>
      <c r="F91" s="154"/>
      <c r="G91" s="154"/>
      <c r="H91" s="154"/>
      <c r="I91" s="154"/>
      <c r="J91" s="88"/>
      <c r="K91" s="90"/>
      <c r="L91" s="90"/>
      <c r="M91" s="90"/>
      <c r="N91" s="90"/>
    </row>
    <row r="92" spans="1:14" hidden="1">
      <c r="A92" s="182"/>
      <c r="B92" s="226"/>
      <c r="C92" s="227"/>
      <c r="D92" s="160"/>
      <c r="E92" s="154"/>
      <c r="F92" s="154"/>
      <c r="G92" s="154"/>
      <c r="H92" s="154"/>
      <c r="I92" s="154"/>
      <c r="J92" s="88"/>
      <c r="K92" s="90"/>
      <c r="L92" s="90"/>
      <c r="M92" s="90"/>
      <c r="N92" s="90"/>
    </row>
    <row r="93" spans="1:14" ht="15.5" hidden="1" thickBot="1">
      <c r="A93" s="228" t="s">
        <v>183</v>
      </c>
      <c r="B93" s="229" t="e">
        <f>IF(B14="&gt;30","!!! Apprentissage impossible car stagiaire + 30 ans !!!",B91-B85)</f>
        <v>#VALUE!</v>
      </c>
      <c r="C93" s="230" t="e">
        <f>(B93)/B85</f>
        <v>#VALUE!</v>
      </c>
      <c r="D93" s="231"/>
      <c r="E93" s="232"/>
      <c r="F93" s="232"/>
      <c r="G93" s="175"/>
      <c r="H93" s="154"/>
      <c r="I93" s="175"/>
      <c r="J93" s="88"/>
      <c r="K93" s="90"/>
      <c r="L93" s="90"/>
      <c r="M93" s="90"/>
      <c r="N93" s="90"/>
    </row>
    <row r="94" spans="1:14" ht="15.5" hidden="1" thickTop="1">
      <c r="A94" s="157"/>
      <c r="B94" s="187"/>
      <c r="C94" s="233"/>
      <c r="D94" s="231"/>
      <c r="E94" s="232"/>
      <c r="F94" s="232"/>
      <c r="G94" s="175"/>
      <c r="H94" s="154"/>
      <c r="I94" s="175"/>
      <c r="J94" s="88"/>
      <c r="K94" s="90"/>
      <c r="L94" s="90"/>
      <c r="M94" s="90"/>
      <c r="N94" s="90"/>
    </row>
    <row r="95" spans="1:14" ht="22.5" hidden="1">
      <c r="A95" s="431" t="s">
        <v>16</v>
      </c>
      <c r="B95" s="431"/>
      <c r="C95" s="431"/>
      <c r="D95" s="234"/>
      <c r="E95" s="154" t="str">
        <f>IF(B13="Inférieur ou égal au BAC","Eligible au CDPI",IF(B13="Supérieur au BAC","Non éligible au CDPI",""))</f>
        <v/>
      </c>
      <c r="F95" s="154"/>
      <c r="G95" s="154" t="str">
        <f>IF(B13="Inférieur ou égal au BAC","0",IF(B13="Supérieur au BAC",2,""))</f>
        <v/>
      </c>
      <c r="H95" s="154"/>
      <c r="I95" s="154"/>
      <c r="J95" s="88"/>
      <c r="K95" s="90"/>
      <c r="L95" s="90"/>
      <c r="M95" s="90"/>
      <c r="N95" s="90"/>
    </row>
    <row r="96" spans="1:14" ht="15.5" hidden="1" thickBot="1">
      <c r="A96" s="235" t="s">
        <v>179</v>
      </c>
      <c r="B96" s="413" t="e">
        <f>B76</f>
        <v>#VALUE!</v>
      </c>
      <c r="C96" s="413"/>
      <c r="D96" s="154"/>
      <c r="E96" s="154" t="str">
        <f>IF(B14="Supérieur ou égal à 450 heures","Eligible au CDPI",IF(B14="Inférieur à 450 heures","Non éligible au CDPI",""))</f>
        <v/>
      </c>
      <c r="F96" s="154"/>
      <c r="G96" s="154" t="str">
        <f>IF(B14="Supérieur ou égal à 450 heures",0,IF(B14="Inférieur à 450 heures",2,""))</f>
        <v/>
      </c>
      <c r="H96" s="154"/>
      <c r="I96" s="154"/>
      <c r="J96" s="88"/>
      <c r="K96" s="90"/>
      <c r="L96" s="90"/>
      <c r="M96" s="90"/>
      <c r="N96" s="90"/>
    </row>
    <row r="97" spans="1:15" hidden="1">
      <c r="A97" s="236" t="s">
        <v>180</v>
      </c>
      <c r="B97" s="433" t="e">
        <f>B93</f>
        <v>#VALUE!</v>
      </c>
      <c r="C97" s="433"/>
      <c r="D97" s="154"/>
      <c r="E97" s="154"/>
      <c r="F97" s="154"/>
      <c r="G97" s="154"/>
      <c r="H97" s="154"/>
      <c r="I97" s="154"/>
      <c r="J97" s="88"/>
      <c r="K97" s="90"/>
      <c r="L97" s="90"/>
      <c r="M97" s="90"/>
      <c r="N97" s="90"/>
    </row>
    <row r="98" spans="1:15" ht="15.5" hidden="1" thickBot="1">
      <c r="A98" s="412" t="e">
        <f>IF(B96&lt;B97," Le Contrat d'Apprentissage a plus de volume de marge",IF(B96&gt;B97," Le Contrat de Professionnalisation a plus de volume de marge",IF(B96=B97,"Le reste à charge est le même",)))</f>
        <v>#VALUE!</v>
      </c>
      <c r="B98" s="412"/>
      <c r="C98" s="412"/>
      <c r="D98" s="187"/>
      <c r="E98" s="154"/>
      <c r="F98" s="237"/>
      <c r="G98" s="154"/>
      <c r="H98" s="154"/>
      <c r="I98" s="154"/>
      <c r="J98" s="88"/>
      <c r="K98" s="90"/>
      <c r="L98" s="90"/>
      <c r="M98" s="90"/>
      <c r="N98" s="90"/>
    </row>
    <row r="99" spans="1:15" ht="15.5" thickBot="1">
      <c r="A99" s="238"/>
      <c r="B99" s="238"/>
      <c r="C99" s="238"/>
      <c r="D99" s="187"/>
      <c r="E99" s="154"/>
      <c r="F99" s="237"/>
      <c r="G99" s="154"/>
      <c r="H99" s="154"/>
      <c r="I99" s="154"/>
      <c r="J99" s="88"/>
      <c r="K99" s="90"/>
      <c r="L99" s="90"/>
      <c r="M99" s="90"/>
      <c r="N99" s="90"/>
    </row>
    <row r="100" spans="1:15" ht="19.5" thickTop="1">
      <c r="A100" s="428" t="s">
        <v>3</v>
      </c>
      <c r="B100" s="429"/>
      <c r="C100" s="430"/>
      <c r="D100" s="154"/>
      <c r="E100" s="154"/>
      <c r="F100" s="154"/>
      <c r="G100" s="154"/>
      <c r="H100" s="154"/>
      <c r="I100" s="154"/>
      <c r="J100" s="88"/>
      <c r="K100" s="90"/>
      <c r="L100" s="90"/>
      <c r="M100" s="90"/>
      <c r="N100" s="90"/>
    </row>
    <row r="101" spans="1:15" ht="19.5" hidden="1" thickTop="1">
      <c r="A101" s="425" t="s">
        <v>17</v>
      </c>
      <c r="B101" s="426"/>
      <c r="C101" s="427"/>
      <c r="D101" s="154"/>
      <c r="E101" s="154"/>
      <c r="F101" s="154"/>
      <c r="G101" s="154"/>
      <c r="H101" s="154"/>
      <c r="I101" s="154"/>
      <c r="J101" s="88"/>
      <c r="K101" s="90"/>
      <c r="L101" s="90"/>
      <c r="M101" s="90"/>
      <c r="N101" s="90"/>
    </row>
    <row r="102" spans="1:15" ht="19">
      <c r="A102" s="372" t="s">
        <v>282</v>
      </c>
      <c r="B102" s="434">
        <v>1.4017999999999999</v>
      </c>
      <c r="C102" s="434"/>
      <c r="D102" s="154"/>
      <c r="E102" s="154"/>
      <c r="F102" s="154"/>
      <c r="G102" s="154"/>
      <c r="H102" s="154"/>
      <c r="I102" s="154"/>
      <c r="J102" s="88"/>
      <c r="K102" s="90"/>
      <c r="L102" s="90"/>
      <c r="M102" s="90"/>
      <c r="N102" s="90"/>
    </row>
    <row r="103" spans="1:15" ht="19">
      <c r="A103" s="373" t="s">
        <v>250</v>
      </c>
      <c r="B103" s="435">
        <v>1.1000000000000001</v>
      </c>
      <c r="C103" s="435"/>
      <c r="D103" s="154"/>
      <c r="E103" s="154"/>
      <c r="F103" s="154"/>
      <c r="G103" s="154"/>
      <c r="H103" s="154"/>
      <c r="I103" s="154"/>
      <c r="J103" s="88"/>
      <c r="K103" s="90"/>
      <c r="L103" s="90"/>
      <c r="M103" s="90"/>
      <c r="N103" s="90"/>
    </row>
    <row r="104" spans="1:15" ht="19">
      <c r="A104" s="373" t="s">
        <v>259</v>
      </c>
      <c r="B104" s="432">
        <v>11.88</v>
      </c>
      <c r="C104" s="432"/>
      <c r="D104" s="154"/>
      <c r="E104" s="154"/>
      <c r="F104" s="154"/>
      <c r="G104" s="154"/>
      <c r="H104" s="154"/>
      <c r="I104" s="154"/>
      <c r="J104" s="88"/>
      <c r="K104" s="90"/>
      <c r="L104" s="90"/>
      <c r="M104" s="90"/>
      <c r="N104" s="90"/>
    </row>
    <row r="105" spans="1:15" ht="19" hidden="1">
      <c r="A105" s="423"/>
      <c r="B105" s="423"/>
      <c r="C105" s="424"/>
      <c r="D105" s="154"/>
      <c r="E105" s="154"/>
      <c r="F105" s="154"/>
      <c r="G105" s="154"/>
      <c r="H105" s="154"/>
      <c r="I105" s="154"/>
      <c r="J105" s="88"/>
      <c r="K105" s="90"/>
      <c r="L105" s="90"/>
      <c r="M105" s="90"/>
      <c r="N105" s="90"/>
    </row>
    <row r="106" spans="1:15" ht="17.5" customHeight="1">
      <c r="A106" s="240" t="s">
        <v>248</v>
      </c>
      <c r="B106" s="241" t="s">
        <v>216</v>
      </c>
      <c r="C106" s="242" t="s">
        <v>18</v>
      </c>
      <c r="D106" s="115"/>
      <c r="E106" s="154"/>
      <c r="F106" s="154"/>
      <c r="G106" s="154"/>
      <c r="H106" s="154"/>
      <c r="I106" s="154"/>
      <c r="J106" s="88"/>
      <c r="K106" s="90"/>
      <c r="L106" s="90"/>
      <c r="M106" s="90"/>
      <c r="N106" s="90"/>
    </row>
    <row r="107" spans="1:15" ht="19" hidden="1">
      <c r="A107" s="239" t="s">
        <v>270</v>
      </c>
      <c r="B107" s="294">
        <v>17</v>
      </c>
      <c r="C107" s="243">
        <v>15</v>
      </c>
      <c r="D107" s="115"/>
      <c r="E107" s="154"/>
      <c r="F107" s="154"/>
      <c r="G107" s="154"/>
      <c r="H107" s="154"/>
      <c r="I107" s="154"/>
      <c r="J107" s="88"/>
      <c r="K107" s="90"/>
      <c r="L107" s="90"/>
      <c r="M107" s="90"/>
      <c r="N107" s="90"/>
    </row>
    <row r="108" spans="1:15" ht="19" hidden="1">
      <c r="A108" s="239" t="s">
        <v>278</v>
      </c>
      <c r="B108" s="294">
        <v>14</v>
      </c>
      <c r="C108" s="154"/>
      <c r="D108" s="245"/>
      <c r="E108" s="245"/>
      <c r="F108" s="245"/>
      <c r="G108" s="245"/>
      <c r="H108" s="245"/>
      <c r="I108" s="245"/>
      <c r="J108" s="88"/>
      <c r="K108" s="90"/>
      <c r="L108" s="90"/>
      <c r="M108" s="90"/>
      <c r="N108" s="90"/>
    </row>
    <row r="109" spans="1:15" ht="19" hidden="1">
      <c r="A109" s="239" t="s">
        <v>272</v>
      </c>
      <c r="B109" s="294">
        <v>17</v>
      </c>
      <c r="C109" s="243"/>
      <c r="D109" s="115"/>
      <c r="E109" s="154"/>
      <c r="F109" s="154"/>
      <c r="G109" s="154"/>
      <c r="H109" s="154"/>
      <c r="I109" s="154"/>
      <c r="J109" s="88"/>
      <c r="K109" s="90"/>
      <c r="L109" s="90"/>
      <c r="M109" s="90"/>
      <c r="N109" s="90"/>
    </row>
    <row r="110" spans="1:15" ht="7" hidden="1" customHeight="1">
      <c r="A110" s="239" t="s">
        <v>271</v>
      </c>
      <c r="B110" s="294">
        <v>14</v>
      </c>
      <c r="C110" s="243"/>
      <c r="D110" s="115"/>
      <c r="E110" s="154"/>
      <c r="F110" s="154"/>
      <c r="G110" s="154"/>
      <c r="H110" s="154"/>
      <c r="I110" s="154"/>
      <c r="J110" s="88"/>
      <c r="K110" s="90"/>
      <c r="L110" s="90"/>
      <c r="M110" s="90"/>
      <c r="N110" s="90"/>
    </row>
    <row r="111" spans="1:15" ht="19">
      <c r="A111" s="373" t="s">
        <v>292</v>
      </c>
      <c r="B111" s="378">
        <v>27</v>
      </c>
      <c r="C111" s="244">
        <v>17</v>
      </c>
      <c r="D111" s="88"/>
      <c r="E111" s="154"/>
      <c r="F111" s="154"/>
      <c r="G111" s="154"/>
      <c r="H111" s="154"/>
      <c r="I111" s="154"/>
      <c r="J111" s="88"/>
      <c r="K111" s="90"/>
      <c r="L111" s="90"/>
      <c r="M111" s="90"/>
      <c r="N111" s="90"/>
    </row>
    <row r="112" spans="1:15" ht="19">
      <c r="A112" s="373" t="s">
        <v>277</v>
      </c>
      <c r="B112" s="378">
        <v>20</v>
      </c>
      <c r="C112" s="244">
        <v>19</v>
      </c>
      <c r="D112" s="88"/>
      <c r="E112" s="154"/>
      <c r="F112" s="154"/>
      <c r="G112" s="154"/>
      <c r="H112" s="154"/>
      <c r="I112" s="154"/>
      <c r="J112" s="88"/>
      <c r="K112" s="90"/>
      <c r="L112" s="90"/>
      <c r="M112" s="90"/>
      <c r="N112" s="90"/>
      <c r="O112" s="90"/>
    </row>
    <row r="113" spans="1:15" ht="19">
      <c r="A113" s="373" t="s">
        <v>287</v>
      </c>
      <c r="B113" s="378">
        <v>20</v>
      </c>
      <c r="C113" s="244">
        <v>20</v>
      </c>
      <c r="D113" s="88"/>
      <c r="E113" s="154"/>
      <c r="F113" s="154"/>
      <c r="G113" s="154"/>
      <c r="H113" s="154"/>
      <c r="I113" s="154"/>
      <c r="J113" s="88"/>
      <c r="K113" s="90"/>
      <c r="L113" s="90"/>
      <c r="M113" s="90"/>
      <c r="N113" s="90"/>
      <c r="O113" s="90"/>
    </row>
    <row r="114" spans="1:15" ht="19">
      <c r="A114" s="373" t="s">
        <v>291</v>
      </c>
      <c r="B114" s="378">
        <v>15</v>
      </c>
      <c r="C114" s="244">
        <v>21</v>
      </c>
      <c r="D114" s="88"/>
      <c r="E114" s="154"/>
      <c r="F114" s="154"/>
      <c r="G114" s="154"/>
      <c r="H114" s="154"/>
      <c r="I114" s="154"/>
      <c r="J114" s="88"/>
      <c r="K114" s="90"/>
      <c r="L114" s="90"/>
      <c r="M114" s="90"/>
      <c r="N114" s="90"/>
      <c r="O114" s="90"/>
    </row>
    <row r="115" spans="1:15" ht="19">
      <c r="A115" s="373" t="s">
        <v>286</v>
      </c>
      <c r="B115" s="378">
        <v>9.15</v>
      </c>
      <c r="C115" s="244">
        <v>22.5</v>
      </c>
      <c r="D115" s="88"/>
      <c r="E115" s="154"/>
      <c r="F115" s="154"/>
      <c r="G115" s="154"/>
      <c r="H115" s="154"/>
      <c r="I115" s="154"/>
      <c r="J115" s="88"/>
    </row>
  </sheetData>
  <sheetProtection algorithmName="SHA-512" hashValue="Cj1khTpA4x3nJZvb9wLQRBp3LK0npSxjt4WlzL7eLZuis9GDpNfierCuTzmmMcJTCpTy41FVSeDb03TqRHlMQQ==" saltValue="GbOy2Dpi2RUP/flVbnFf0g==" spinCount="100000" sheet="1" objects="1" scenarios="1"/>
  <protectedRanges>
    <protectedRange sqref="B72" name="Plage8"/>
    <protectedRange sqref="G29 G26:G27" name="Plage6"/>
    <protectedRange sqref="B26:B29" name="Plage4"/>
    <protectedRange sqref="B18:B20" name="Plage2"/>
    <protectedRange sqref="B8:B14" name="Plage1"/>
    <protectedRange sqref="B22:B24" name="Plage3"/>
    <protectedRange sqref="D26:D29" name="Plage5"/>
    <protectedRange sqref="B32:B34" name="Plage7"/>
  </protectedRanges>
  <mergeCells count="29">
    <mergeCell ref="A105:C105"/>
    <mergeCell ref="A101:C101"/>
    <mergeCell ref="A100:C100"/>
    <mergeCell ref="A95:C95"/>
    <mergeCell ref="B104:C104"/>
    <mergeCell ref="B97:C97"/>
    <mergeCell ref="B102:C102"/>
    <mergeCell ref="B103:C103"/>
    <mergeCell ref="A78:B78"/>
    <mergeCell ref="B79:C79"/>
    <mergeCell ref="A98:C98"/>
    <mergeCell ref="B96:C96"/>
    <mergeCell ref="E85:G88"/>
    <mergeCell ref="E79:G79"/>
    <mergeCell ref="F73:G73"/>
    <mergeCell ref="E37:G37"/>
    <mergeCell ref="E31:F31"/>
    <mergeCell ref="D15:E15"/>
    <mergeCell ref="D72:E72"/>
    <mergeCell ref="H21:I21"/>
    <mergeCell ref="H24:I24"/>
    <mergeCell ref="E26:F26"/>
    <mergeCell ref="E27:F27"/>
    <mergeCell ref="E28:F28"/>
    <mergeCell ref="D1:G1"/>
    <mergeCell ref="C13:D14"/>
    <mergeCell ref="A64:C64"/>
    <mergeCell ref="E29:F29"/>
    <mergeCell ref="E30:F30"/>
  </mergeCells>
  <conditionalFormatting sqref="A58:C77">
    <cfRule type="containsErrors" dxfId="15" priority="4">
      <formula>ISERROR(A58)</formula>
    </cfRule>
  </conditionalFormatting>
  <conditionalFormatting sqref="B43:B45">
    <cfRule type="containsErrors" dxfId="14" priority="5">
      <formula>ISERROR(B43)</formula>
    </cfRule>
  </conditionalFormatting>
  <conditionalFormatting sqref="D21">
    <cfRule type="containsErrors" dxfId="13" priority="2">
      <formula>ISERROR(D21)</formula>
    </cfRule>
  </conditionalFormatting>
  <conditionalFormatting sqref="D24">
    <cfRule type="containsErrors" dxfId="12" priority="6">
      <formula>ISERROR(D24)</formula>
    </cfRule>
  </conditionalFormatting>
  <conditionalFormatting sqref="D72 F72:H72 D73:H74">
    <cfRule type="containsErrors" dxfId="11" priority="1">
      <formula>ISERROR(D72)</formula>
    </cfRule>
  </conditionalFormatting>
  <conditionalFormatting sqref="D5:H8">
    <cfRule type="containsErrors" dxfId="10" priority="7">
      <formula>ISERROR(D5)</formula>
    </cfRule>
  </conditionalFormatting>
  <conditionalFormatting sqref="E71">
    <cfRule type="containsErrors" dxfId="9" priority="3">
      <formula>ISERROR(E71)</formula>
    </cfRule>
  </conditionalFormatting>
  <conditionalFormatting sqref="H64">
    <cfRule type="containsErrors" dxfId="8" priority="8">
      <formula>ISERROR(H64)</formula>
    </cfRule>
  </conditionalFormatting>
  <dataValidations xWindow="517" yWindow="516" count="12">
    <dataValidation type="whole" operator="greaterThan" allowBlank="1" showInputMessage="1" showErrorMessage="1" error="Veuillez renseigner le nombre d'heures de formation (minimum 150)" sqref="B19" xr:uid="{00000000-0002-0000-0000-000000000000}">
      <formula1>149</formula1>
    </dataValidation>
    <dataValidation allowBlank="1" showInputMessage="1" showErrorMessage="1" promptTitle="Perfom +" prompt="Oui = Vous avez versé votre investissement formation au FAF.TT, (Contribution 0.6%), _x000a_Non = Vous n'avez pas versé votre investissement formation au FAF.TT._x000a_* Consultez votre conseiller formation FAF.TT, votre responsable formation ou votre comptable._x000a_" sqref="A17" xr:uid="{00000000-0002-0000-0000-000001000000}"/>
    <dataValidation allowBlank="1" showInputMessage="1" showErrorMessage="1" prompt="Facultatif pour CPF : A renseigner uniquement pour comparaison avec forfaits pro" sqref="A15" xr:uid="{00000000-0002-0000-0000-000002000000}"/>
    <dataValidation allowBlank="1" showInputMessage="1" showErrorMessage="1" promptTitle="Formations certifiantes" prompt="Diplômes - Titres Professionnels - Certificats de Qualification Professionnelle" sqref="A16" xr:uid="{00000000-0002-0000-0000-000003000000}"/>
    <dataValidation type="whole" allowBlank="1" showInputMessage="1" showErrorMessage="1" sqref="C108" xr:uid="{00000000-0002-0000-0000-000006000000}">
      <formula1>1</formula1>
      <formula2>31</formula2>
    </dataValidation>
    <dataValidation operator="greaterThan" showInputMessage="1" showErrorMessage="1" sqref="B21" xr:uid="{00000000-0002-0000-0000-000007000000}"/>
    <dataValidation allowBlank="1" showInputMessage="1" showErrorMessage="1" prompt=" " sqref="A13" xr:uid="{C5025725-1A0B-4373-BCF6-BA3E38D2D89C}"/>
    <dataValidation allowBlank="1" showInputMessage="1" showErrorMessage="1" promptTitle="Ou imputer votre reste à charge?" sqref="A72" xr:uid="{EA21FC1C-2D7C-44CD-BF5A-B7AF534779ED}"/>
    <dataValidation allowBlank="1" showInputMessage="1" showErrorMessage="1" prompt="_x000a_" sqref="F22" xr:uid="{00000000-0002-0000-0000-000009000000}"/>
    <dataValidation type="whole" allowBlank="1" showInputMessage="1" showErrorMessage="1" sqref="B18" xr:uid="{A0CAB7FF-DFFC-4841-926A-F54407A9BF7C}">
      <formula1>6</formula1>
      <formula2>36</formula2>
    </dataValidation>
    <dataValidation type="whole" allowBlank="1" showInputMessage="1" showErrorMessage="1" error="Veuillez renseigner le nombre d'heures de formation (minimum 150)" sqref="B20" xr:uid="{0DDD126F-8D0C-4253-8A92-D087F8E08361}">
      <formula1>24</formula1>
      <formula2>35</formula2>
    </dataValidation>
    <dataValidation type="list" showInputMessage="1" showErrorMessage="1" sqref="B8" xr:uid="{00000000-0002-0000-0000-000011000000}">
      <formula1>"Intérimaire,permanent"</formula1>
    </dataValidation>
  </dataValidations>
  <hyperlinks>
    <hyperlink ref="C78" r:id="rId1" xr:uid="{00000000-0004-0000-0000-000002000000}"/>
    <hyperlink ref="E85:G88" r:id="rId2" tooltip="Pour connaître le coût pour l'entreprise sans passer par l'intérim" display="Lien vers Simulateur Apprentissage et contrat pro Rémunération et d'aides aux entreprises " xr:uid="{4E02E843-370C-4E0C-BE8B-5B1A0B5B276B}"/>
    <hyperlink ref="D4" r:id="rId3" xr:uid="{D96D68DA-C69A-4F41-A037-ED197C312388}"/>
  </hyperlinks>
  <pageMargins left="0.7" right="0.7" top="0.75" bottom="0.75" header="0.3" footer="0.3"/>
  <pageSetup paperSize="9" scale="67" orientation="landscape" r:id="rId4"/>
  <colBreaks count="1" manualBreakCount="1">
    <brk id="9" max="1048575" man="1"/>
  </colBreaks>
  <drawing r:id="rId5"/>
  <legacyDrawing r:id="rId6"/>
  <extLst>
    <ext xmlns:x14="http://schemas.microsoft.com/office/spreadsheetml/2009/9/main" uri="{CCE6A557-97BC-4b89-ADB6-D9C93CAAB3DF}">
      <x14:dataValidations xmlns:xm="http://schemas.microsoft.com/office/excel/2006/main" xWindow="517" yWindow="516" count="6">
        <x14:dataValidation type="list" allowBlank="1" showInputMessage="1" showErrorMessage="1" xr:uid="{00000000-0002-0000-0000-000012000000}">
          <x14:formula1>
            <xm:f>Liste!$A$1:$A$2</xm:f>
          </x14:formula1>
          <xm:sqref>B13</xm:sqref>
        </x14:dataValidation>
        <x14:dataValidation type="list" allowBlank="1" showInputMessage="1" showErrorMessage="1" xr:uid="{00000000-0002-0000-0000-000010000000}">
          <x14:formula1>
            <xm:f>'-'!$A$43:$A$44</xm:f>
          </x14:formula1>
          <xm:sqref>B9:B12</xm:sqref>
        </x14:dataValidation>
        <x14:dataValidation type="list" showInputMessage="1" showErrorMessage="1" xr:uid="{00000000-0002-0000-0000-000013000000}">
          <x14:formula1>
            <xm:f>'-'!$C$34:$C$37</xm:f>
          </x14:formula1>
          <xm:sqref>B15</xm:sqref>
        </x14:dataValidation>
        <x14:dataValidation type="list" showInputMessage="1" showErrorMessage="1" xr:uid="{00000000-0002-0000-0000-000014000000}">
          <x14:formula1>
            <xm:f>'-'!$A$38:$A$40</xm:f>
          </x14:formula1>
          <xm:sqref>B16</xm:sqref>
        </x14:dataValidation>
        <x14:dataValidation type="list" showInputMessage="1" showErrorMessage="1" xr:uid="{00000000-0002-0000-0000-000016000000}">
          <x14:formula1>
            <xm:f>'-'!$A$1:$A$13</xm:f>
          </x14:formula1>
          <xm:sqref>B14</xm:sqref>
        </x14:dataValidation>
        <x14:dataValidation type="list" showInputMessage="1" showErrorMessage="1" xr:uid="{71356AA2-471B-4B13-A62D-FD218CAD3013}">
          <x14:formula1>
            <xm:f>'-'!$C$42:$C$44</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BE154-0FFB-4C40-BA54-EF6DD5B68920}">
  <dimension ref="A1:A2"/>
  <sheetViews>
    <sheetView workbookViewId="0">
      <selection sqref="A1:A2"/>
    </sheetView>
  </sheetViews>
  <sheetFormatPr baseColWidth="10" defaultRowHeight="14.5"/>
  <sheetData>
    <row r="1" spans="1:1">
      <c r="A1" t="s">
        <v>289</v>
      </c>
    </row>
    <row r="2" spans="1:1">
      <c r="A2" s="394" t="s">
        <v>290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BBEC9-44D9-4EFF-BC14-6F02D53EAC16}">
  <sheetPr codeName="Feuil5"/>
  <dimension ref="A1:S69"/>
  <sheetViews>
    <sheetView workbookViewId="0">
      <selection activeCell="J4" sqref="J4"/>
    </sheetView>
  </sheetViews>
  <sheetFormatPr baseColWidth="10" defaultRowHeight="14.5"/>
  <cols>
    <col min="1" max="2" width="12.7265625" bestFit="1" customWidth="1"/>
  </cols>
  <sheetData>
    <row r="1" spans="1:19" ht="15.5">
      <c r="A1" s="46"/>
      <c r="B1" s="47" t="s">
        <v>217</v>
      </c>
      <c r="C1" s="5"/>
      <c r="D1" s="48"/>
      <c r="E1" s="48"/>
      <c r="F1" s="49"/>
      <c r="G1" s="49"/>
      <c r="H1" s="49"/>
      <c r="I1" s="49"/>
      <c r="J1" s="49"/>
      <c r="K1" s="48"/>
      <c r="L1" s="50"/>
      <c r="M1" s="50"/>
      <c r="N1" s="50"/>
      <c r="O1" s="50"/>
      <c r="P1" s="50"/>
      <c r="Q1" s="50"/>
      <c r="R1" s="50"/>
    </row>
    <row r="2" spans="1:19" ht="62">
      <c r="A2" s="51" t="s">
        <v>218</v>
      </c>
      <c r="B2" s="51" t="s">
        <v>219</v>
      </c>
      <c r="C2" s="51" t="s">
        <v>220</v>
      </c>
      <c r="D2" s="51" t="s">
        <v>221</v>
      </c>
      <c r="E2" s="51" t="s">
        <v>222</v>
      </c>
      <c r="F2" s="52" t="s">
        <v>223</v>
      </c>
      <c r="G2" s="52" t="s">
        <v>224</v>
      </c>
      <c r="H2" s="52" t="s">
        <v>225</v>
      </c>
      <c r="I2" s="52" t="s">
        <v>226</v>
      </c>
      <c r="J2" s="52" t="s">
        <v>227</v>
      </c>
      <c r="K2" s="53"/>
      <c r="L2" s="54"/>
      <c r="M2" s="54"/>
      <c r="N2" s="54"/>
      <c r="O2" s="54"/>
      <c r="P2" s="54"/>
      <c r="Q2" s="54"/>
      <c r="R2" s="54"/>
    </row>
    <row r="3" spans="1:19" ht="15.5">
      <c r="A3" s="55"/>
      <c r="B3" s="55"/>
      <c r="C3" s="56">
        <f>B3-A3</f>
        <v>0</v>
      </c>
      <c r="D3" s="57">
        <f>IF(O68&gt;0,O68,(C3/30.42))</f>
        <v>0</v>
      </c>
      <c r="E3" s="57">
        <f>ROUND(C3/7,2)</f>
        <v>0</v>
      </c>
      <c r="F3" s="58"/>
      <c r="G3" s="56" t="e">
        <f>F3*(151.6670081967/F3)*D3</f>
        <v>#DIV/0!</v>
      </c>
      <c r="H3" s="59" t="e">
        <f>IF(G3*0.15&lt;150,150,ROUNDUP(G3*0.15*1.0044,0))</f>
        <v>#DIV/0!</v>
      </c>
      <c r="I3" s="59" t="e">
        <f>IF(G3*0.25&lt;150,150,ROUNDDOWN(G3*0.25*1.0045,0))</f>
        <v>#DIV/0!</v>
      </c>
      <c r="J3" s="59" t="e">
        <f>IF(G3*0.5&lt;150,150,ROUNDDOWN(G3*0.5*1.0045,0))</f>
        <v>#DIV/0!</v>
      </c>
      <c r="K3" s="60"/>
      <c r="L3" s="61"/>
      <c r="M3" s="61"/>
      <c r="N3" s="61"/>
      <c r="O3" s="61"/>
      <c r="P3" s="61"/>
      <c r="Q3" s="61"/>
      <c r="R3" s="61"/>
    </row>
    <row r="4" spans="1:19" ht="18.5">
      <c r="A4" s="62"/>
      <c r="B4" s="63"/>
      <c r="C4" s="64"/>
      <c r="D4" s="63" t="str">
        <f>IF(D3&gt;36," !!Max 36 mois","")</f>
        <v/>
      </c>
      <c r="E4" s="62"/>
      <c r="F4" s="65" t="str">
        <f>IF(AND(F3&lt;24,F3&gt;0), "!! Mini 24h","")</f>
        <v/>
      </c>
      <c r="G4" s="66"/>
      <c r="H4" s="66"/>
      <c r="I4" s="66"/>
      <c r="J4" s="62"/>
      <c r="K4" s="62"/>
      <c r="L4" s="5"/>
      <c r="M4" s="5"/>
      <c r="N4" s="5"/>
      <c r="O4" s="5"/>
      <c r="P4" s="5"/>
      <c r="Q4" s="5"/>
      <c r="R4" s="5"/>
    </row>
    <row r="5" spans="1:19" ht="15.5">
      <c r="A5" s="67" t="s">
        <v>228</v>
      </c>
      <c r="B5" s="67"/>
      <c r="C5" s="67"/>
      <c r="D5" s="67"/>
      <c r="E5" s="67"/>
      <c r="F5" s="68"/>
      <c r="G5" s="68"/>
      <c r="H5" s="68"/>
      <c r="I5" s="68"/>
      <c r="J5" s="68"/>
      <c r="K5" s="69"/>
      <c r="L5" s="70"/>
      <c r="M5" s="71">
        <f>B3-A3</f>
        <v>0</v>
      </c>
      <c r="N5" s="71"/>
      <c r="O5" s="71"/>
      <c r="P5" s="5"/>
      <c r="Q5" s="5"/>
      <c r="R5" s="5"/>
    </row>
    <row r="6" spans="1:19" ht="15.5">
      <c r="A6" s="67"/>
      <c r="B6" s="67"/>
      <c r="C6" s="67"/>
      <c r="D6" s="67"/>
      <c r="E6" s="67"/>
      <c r="F6" s="68"/>
      <c r="G6" s="68"/>
      <c r="H6" s="68"/>
      <c r="I6" s="72"/>
      <c r="J6" s="68"/>
      <c r="K6" s="69"/>
      <c r="L6" s="70"/>
      <c r="M6" s="71"/>
      <c r="N6" s="71"/>
      <c r="O6" s="71"/>
      <c r="P6" s="5"/>
      <c r="Q6" s="5"/>
      <c r="R6" s="5">
        <v>1</v>
      </c>
      <c r="S6">
        <v>38</v>
      </c>
    </row>
    <row r="7" spans="1:19" ht="15.5">
      <c r="A7" s="68" t="s">
        <v>229</v>
      </c>
      <c r="B7" s="67"/>
      <c r="C7" s="67"/>
      <c r="D7" s="67"/>
      <c r="E7" s="67"/>
      <c r="F7" s="68"/>
      <c r="G7" s="68"/>
      <c r="H7" s="68"/>
      <c r="I7" s="68"/>
      <c r="J7" s="68"/>
      <c r="K7" s="69"/>
      <c r="L7" s="70"/>
      <c r="M7" s="73">
        <v>180</v>
      </c>
      <c r="N7" s="73"/>
      <c r="O7" s="73">
        <f>IF(M5=M7,6,0)</f>
        <v>0</v>
      </c>
      <c r="P7" s="50"/>
      <c r="Q7" s="50"/>
      <c r="R7" s="50"/>
    </row>
    <row r="8" spans="1:19" ht="15.5">
      <c r="A8" s="68"/>
      <c r="B8" s="67"/>
      <c r="C8" s="67"/>
      <c r="D8" s="67"/>
      <c r="E8" s="67"/>
      <c r="F8" s="68"/>
      <c r="G8" s="68"/>
      <c r="H8" s="68"/>
      <c r="I8" s="68"/>
      <c r="J8" s="68"/>
      <c r="K8" s="69"/>
      <c r="L8" s="70"/>
      <c r="M8" s="73">
        <v>210</v>
      </c>
      <c r="N8" s="73"/>
      <c r="O8" s="73">
        <f>IF(M5=M8,7,0)</f>
        <v>0</v>
      </c>
      <c r="P8" s="50"/>
      <c r="Q8" s="50"/>
      <c r="R8" s="50"/>
    </row>
    <row r="9" spans="1:19" ht="15.5">
      <c r="A9" s="68" t="s">
        <v>230</v>
      </c>
      <c r="B9" s="67"/>
      <c r="C9" s="67"/>
      <c r="D9" s="67"/>
      <c r="E9" s="67"/>
      <c r="F9" s="68"/>
      <c r="G9" s="68"/>
      <c r="H9" s="68"/>
      <c r="I9" s="68"/>
      <c r="J9" s="68"/>
      <c r="K9" s="69"/>
      <c r="M9" s="73">
        <v>242</v>
      </c>
      <c r="N9" s="73"/>
      <c r="O9" s="73">
        <f>IF(M5=M9,8,0)</f>
        <v>0</v>
      </c>
      <c r="P9" s="50"/>
      <c r="Q9" s="50"/>
      <c r="R9" s="50"/>
    </row>
    <row r="10" spans="1:19" ht="15.5">
      <c r="A10" s="68"/>
      <c r="B10" s="67"/>
      <c r="C10" s="67"/>
      <c r="D10" s="67"/>
      <c r="E10" s="67"/>
      <c r="F10" s="68"/>
      <c r="G10" s="68"/>
      <c r="H10" s="68"/>
      <c r="I10" s="68"/>
      <c r="J10" s="68"/>
      <c r="K10" s="69"/>
      <c r="L10" s="70"/>
      <c r="M10" s="73">
        <v>272</v>
      </c>
      <c r="N10" s="73"/>
      <c r="O10" s="73">
        <f>IF(M5=M10,9,0)</f>
        <v>0</v>
      </c>
      <c r="P10" s="50"/>
      <c r="Q10" s="50"/>
      <c r="R10" s="50"/>
    </row>
    <row r="11" spans="1:19" ht="15.5">
      <c r="A11" s="67" t="s">
        <v>231</v>
      </c>
      <c r="B11" s="67"/>
      <c r="C11" s="67"/>
      <c r="D11" s="67"/>
      <c r="E11" s="67"/>
      <c r="F11" s="68"/>
      <c r="G11" s="68"/>
      <c r="H11" s="68"/>
      <c r="I11" s="68"/>
      <c r="J11" s="67"/>
      <c r="K11" s="69"/>
      <c r="L11" s="70"/>
      <c r="M11" s="73">
        <v>303</v>
      </c>
      <c r="N11" s="73"/>
      <c r="O11" s="73">
        <f>IF(M5=M11,10,0)</f>
        <v>0</v>
      </c>
      <c r="P11" s="50"/>
      <c r="Q11" s="50"/>
      <c r="R11" s="50"/>
    </row>
    <row r="12" spans="1:19" ht="15.5">
      <c r="A12" s="67"/>
      <c r="B12" s="67"/>
      <c r="C12" s="67"/>
      <c r="D12" s="67"/>
      <c r="E12" s="67"/>
      <c r="F12" s="68"/>
      <c r="G12" s="68"/>
      <c r="H12" s="68"/>
      <c r="I12" s="68"/>
      <c r="J12" s="67"/>
      <c r="K12" s="69"/>
      <c r="L12" s="70"/>
      <c r="M12" s="73">
        <v>333</v>
      </c>
      <c r="N12" s="73"/>
      <c r="O12" s="73">
        <f>IF(M5=M12,11,0)</f>
        <v>0</v>
      </c>
      <c r="P12" s="50"/>
      <c r="Q12" s="50"/>
      <c r="R12" s="50"/>
    </row>
    <row r="13" spans="1:19" ht="15.5">
      <c r="A13" s="67" t="s">
        <v>232</v>
      </c>
      <c r="B13" s="67"/>
      <c r="C13" s="67"/>
      <c r="D13" s="67"/>
      <c r="E13" s="67"/>
      <c r="F13" s="68"/>
      <c r="G13" s="68"/>
      <c r="H13" s="74"/>
      <c r="I13" s="68"/>
      <c r="J13" s="67"/>
      <c r="K13" s="69"/>
      <c r="L13" s="70"/>
      <c r="M13" s="73">
        <v>364</v>
      </c>
      <c r="N13" s="73"/>
      <c r="O13" s="73">
        <f>IF(M5=M13,12,0)</f>
        <v>0</v>
      </c>
      <c r="P13" s="50"/>
      <c r="Q13" s="50"/>
      <c r="R13" s="50"/>
    </row>
    <row r="14" spans="1:19" ht="15.5">
      <c r="A14" s="62"/>
      <c r="B14" s="62"/>
      <c r="C14" s="62"/>
      <c r="D14" s="62"/>
      <c r="E14" s="62"/>
      <c r="F14" s="66"/>
      <c r="G14" s="66"/>
      <c r="H14" s="75"/>
      <c r="I14" s="66"/>
      <c r="J14" s="62"/>
      <c r="K14" s="62"/>
      <c r="L14" s="5"/>
      <c r="M14" s="73">
        <v>395</v>
      </c>
      <c r="N14" s="73"/>
      <c r="O14" s="73">
        <f>IF(M5=M14,13,0)</f>
        <v>0</v>
      </c>
      <c r="P14" s="5"/>
      <c r="Q14" s="5"/>
      <c r="R14" s="5"/>
    </row>
    <row r="15" spans="1:19" ht="15.5">
      <c r="A15" s="76" t="s">
        <v>233</v>
      </c>
      <c r="B15" s="76"/>
      <c r="C15" s="77"/>
      <c r="D15" s="78"/>
      <c r="E15" s="78"/>
      <c r="F15" s="78"/>
      <c r="G15" s="78"/>
      <c r="H15" s="78"/>
      <c r="I15" s="78"/>
      <c r="J15" s="78"/>
      <c r="K15" s="48"/>
      <c r="L15" s="50"/>
      <c r="M15" s="73">
        <v>424</v>
      </c>
      <c r="N15" s="73"/>
      <c r="O15" s="73">
        <f>IF(M5=M15,14,0)</f>
        <v>0</v>
      </c>
      <c r="P15" s="50"/>
      <c r="Q15" s="50"/>
      <c r="R15" s="50"/>
    </row>
    <row r="16" spans="1:19" ht="62">
      <c r="A16" s="51" t="s">
        <v>234</v>
      </c>
      <c r="B16" s="51" t="s">
        <v>235</v>
      </c>
      <c r="C16" s="51" t="s">
        <v>236</v>
      </c>
      <c r="D16" s="70"/>
      <c r="E16" s="48"/>
      <c r="F16" s="48"/>
      <c r="G16" s="48"/>
      <c r="H16" s="48"/>
      <c r="I16" s="48"/>
      <c r="J16" s="48"/>
      <c r="K16" s="48"/>
      <c r="L16" s="50"/>
      <c r="M16" s="73">
        <v>455</v>
      </c>
      <c r="N16" s="73"/>
      <c r="O16" s="73">
        <f>IF(M5=M16,15,0)</f>
        <v>0</v>
      </c>
      <c r="P16" s="50"/>
      <c r="Q16" s="50"/>
      <c r="R16" s="50"/>
    </row>
    <row r="17" spans="1:18" ht="15.5">
      <c r="A17" s="79"/>
      <c r="B17" s="80"/>
      <c r="C17" s="56">
        <f>IF(((A17*151.67)*B17)/100&lt;150,150,(((A17*151.67)*B17)/100))</f>
        <v>150</v>
      </c>
      <c r="D17" s="48"/>
      <c r="E17" s="48"/>
      <c r="F17" s="48"/>
      <c r="G17" s="48"/>
      <c r="H17" s="48"/>
      <c r="I17" s="48"/>
      <c r="J17" s="48"/>
      <c r="K17" s="48"/>
      <c r="L17" s="50"/>
      <c r="M17" s="73">
        <v>485</v>
      </c>
      <c r="N17" s="73"/>
      <c r="O17" s="73">
        <f>IF(M5=M17,16,0)</f>
        <v>0</v>
      </c>
      <c r="P17" s="50"/>
      <c r="Q17" s="50"/>
      <c r="R17" s="50"/>
    </row>
    <row r="18" spans="1:18" ht="15.5">
      <c r="A18" s="62"/>
      <c r="B18" s="62"/>
      <c r="C18" s="62"/>
      <c r="D18" s="62"/>
      <c r="E18" s="62"/>
      <c r="F18" s="66"/>
      <c r="G18" s="66"/>
      <c r="H18" s="66"/>
      <c r="I18" s="66"/>
      <c r="J18" s="62"/>
      <c r="K18" s="62"/>
      <c r="L18" s="5"/>
      <c r="M18" s="73">
        <v>516</v>
      </c>
      <c r="N18" s="73"/>
      <c r="O18" s="73">
        <f>IF(M5=M18,17,0)</f>
        <v>0</v>
      </c>
      <c r="P18" s="5"/>
      <c r="Q18" s="5"/>
      <c r="R18" s="5"/>
    </row>
    <row r="19" spans="1:18" ht="15.5">
      <c r="A19" s="81" t="s">
        <v>237</v>
      </c>
      <c r="B19" s="81"/>
      <c r="C19" s="82"/>
      <c r="D19" s="48"/>
      <c r="E19" s="48"/>
      <c r="F19" s="48"/>
      <c r="G19" s="48"/>
      <c r="H19" s="48"/>
      <c r="I19" s="48"/>
      <c r="J19" s="48"/>
      <c r="K19" s="48"/>
      <c r="L19" s="50"/>
      <c r="M19" s="73">
        <v>546</v>
      </c>
      <c r="N19" s="73"/>
      <c r="O19" s="73">
        <f>IF(M5=M19,18,0)</f>
        <v>0</v>
      </c>
      <c r="P19" s="50"/>
      <c r="Q19" s="50"/>
      <c r="R19" s="50"/>
    </row>
    <row r="20" spans="1:18" ht="46.5">
      <c r="A20" s="51" t="s">
        <v>238</v>
      </c>
      <c r="B20" s="51" t="s">
        <v>235</v>
      </c>
      <c r="C20" s="51" t="s">
        <v>239</v>
      </c>
      <c r="D20" s="48"/>
      <c r="E20" s="48"/>
      <c r="F20" s="48"/>
      <c r="G20" s="48"/>
      <c r="H20" s="48"/>
      <c r="I20" s="48"/>
      <c r="J20" s="48"/>
      <c r="K20" s="48"/>
      <c r="L20" s="50"/>
      <c r="M20" s="73">
        <v>577</v>
      </c>
      <c r="N20" s="73"/>
      <c r="O20" s="73">
        <f>IF(M5=M20,19,0)</f>
        <v>0</v>
      </c>
      <c r="P20" s="50"/>
      <c r="Q20" s="50"/>
      <c r="R20" s="50"/>
    </row>
    <row r="21" spans="1:18" ht="15.5">
      <c r="A21" s="79">
        <v>400</v>
      </c>
      <c r="B21" s="80">
        <v>25</v>
      </c>
      <c r="C21" s="83">
        <f>((A21/(B21/100))/151.67)</f>
        <v>10.549218698490144</v>
      </c>
      <c r="D21" s="48"/>
      <c r="E21" s="48"/>
      <c r="F21" s="48"/>
      <c r="G21" s="48"/>
      <c r="H21" s="48"/>
      <c r="I21" s="48"/>
      <c r="J21" s="48"/>
      <c r="K21" s="48"/>
      <c r="L21" s="50"/>
      <c r="M21" s="73">
        <v>607</v>
      </c>
      <c r="N21" s="73"/>
      <c r="O21" s="73">
        <f>IF(M5=M21,20,0)</f>
        <v>0</v>
      </c>
      <c r="P21" s="50"/>
      <c r="Q21" s="50"/>
      <c r="R21" s="50"/>
    </row>
    <row r="22" spans="1:18" ht="15.5">
      <c r="A22" s="62"/>
      <c r="B22" s="62"/>
      <c r="C22" s="62"/>
      <c r="D22" s="62"/>
      <c r="E22" s="62"/>
      <c r="F22" s="66"/>
      <c r="G22" s="66"/>
      <c r="H22" s="66"/>
      <c r="I22" s="66"/>
      <c r="J22" s="62"/>
      <c r="K22" s="62"/>
      <c r="L22" s="5"/>
      <c r="M22" s="73">
        <v>638</v>
      </c>
      <c r="N22" s="73"/>
      <c r="O22" s="73">
        <f>IF(M5=M22,21,0)</f>
        <v>0</v>
      </c>
      <c r="P22" s="5"/>
      <c r="Q22" s="5"/>
      <c r="R22" s="5"/>
    </row>
    <row r="23" spans="1:18">
      <c r="A23" s="5"/>
      <c r="B23" s="5"/>
      <c r="C23" s="5"/>
      <c r="D23" s="5"/>
      <c r="E23" s="5"/>
      <c r="F23" s="84"/>
      <c r="G23" s="84"/>
      <c r="H23" s="84"/>
      <c r="I23" s="84"/>
      <c r="J23" s="5"/>
      <c r="M23" s="85">
        <v>669</v>
      </c>
      <c r="N23" s="85"/>
      <c r="O23" s="85">
        <f>IF(M5=M23,22,0)</f>
        <v>0</v>
      </c>
      <c r="Q23" s="5"/>
      <c r="R23" s="5"/>
    </row>
    <row r="24" spans="1:18">
      <c r="F24" s="86"/>
      <c r="G24" s="86"/>
      <c r="H24" s="86"/>
      <c r="I24" s="86"/>
      <c r="M24" s="85">
        <v>699</v>
      </c>
      <c r="N24" s="85"/>
      <c r="O24" s="85">
        <f>IF(M5=M24,23,0)</f>
        <v>0</v>
      </c>
    </row>
    <row r="25" spans="1:18">
      <c r="F25" s="86"/>
      <c r="G25" s="86"/>
      <c r="H25" s="86"/>
      <c r="I25" s="86"/>
      <c r="M25" s="85">
        <v>730</v>
      </c>
      <c r="N25" s="85"/>
      <c r="O25" s="85">
        <f>IF(M5=M25,24,0)</f>
        <v>0</v>
      </c>
    </row>
    <row r="26" spans="1:18">
      <c r="F26" s="86"/>
      <c r="G26" s="86"/>
      <c r="H26" s="86"/>
      <c r="I26" s="86"/>
      <c r="M26" s="85">
        <v>760</v>
      </c>
      <c r="N26" s="85"/>
      <c r="O26" s="85">
        <f>IF(M5=M26,25,0)</f>
        <v>0</v>
      </c>
    </row>
    <row r="27" spans="1:18">
      <c r="F27" s="86"/>
      <c r="G27" s="86"/>
      <c r="H27" s="86"/>
      <c r="I27" s="86"/>
      <c r="M27" s="85">
        <v>789</v>
      </c>
      <c r="N27" s="85"/>
      <c r="O27" s="85">
        <f>IF(M5=M27,26,0)</f>
        <v>0</v>
      </c>
    </row>
    <row r="28" spans="1:18">
      <c r="F28" s="86"/>
      <c r="G28" s="86"/>
      <c r="H28" s="86"/>
      <c r="I28" s="86"/>
      <c r="M28" s="85">
        <v>820</v>
      </c>
      <c r="N28" s="85"/>
      <c r="O28" s="85">
        <f>IF(M5=M28,27,0)</f>
        <v>0</v>
      </c>
    </row>
    <row r="29" spans="1:18">
      <c r="F29" s="86"/>
      <c r="G29" s="86"/>
      <c r="H29" s="86"/>
      <c r="I29" s="86"/>
      <c r="M29" s="85">
        <v>850</v>
      </c>
      <c r="N29" s="85"/>
      <c r="O29" s="85">
        <f>IF(M5=M29,28,0)</f>
        <v>0</v>
      </c>
    </row>
    <row r="30" spans="1:18">
      <c r="F30" s="86"/>
      <c r="G30" s="86"/>
      <c r="H30" s="86"/>
      <c r="I30" s="86"/>
      <c r="M30" s="85">
        <v>881</v>
      </c>
      <c r="N30" s="85"/>
      <c r="O30" s="85">
        <f>IF(M5=M30,29,0)</f>
        <v>0</v>
      </c>
    </row>
    <row r="31" spans="1:18">
      <c r="F31" s="86"/>
      <c r="G31" s="86"/>
      <c r="H31" s="86"/>
      <c r="I31" s="86"/>
      <c r="M31" s="85">
        <v>911</v>
      </c>
      <c r="N31" s="85"/>
      <c r="O31" s="85">
        <f>IF(M5=M31,30,0)</f>
        <v>0</v>
      </c>
    </row>
    <row r="32" spans="1:18">
      <c r="F32" s="86"/>
      <c r="G32" s="86"/>
      <c r="H32" s="86"/>
      <c r="I32" s="86"/>
      <c r="M32" s="85">
        <v>942</v>
      </c>
      <c r="N32" s="85"/>
      <c r="O32" s="85">
        <f>IF(M5=M32,31,0)</f>
        <v>0</v>
      </c>
    </row>
    <row r="33" spans="6:15">
      <c r="F33" s="86"/>
      <c r="G33" s="86"/>
      <c r="H33" s="86"/>
      <c r="I33" s="86"/>
      <c r="M33" s="85">
        <v>972</v>
      </c>
      <c r="N33" s="85"/>
      <c r="O33" s="85">
        <f>IF(M5=M33,32,0)</f>
        <v>0</v>
      </c>
    </row>
    <row r="34" spans="6:15">
      <c r="F34" s="86"/>
      <c r="G34" s="86"/>
      <c r="H34" s="86"/>
      <c r="I34" s="86"/>
      <c r="M34" s="85">
        <v>1003</v>
      </c>
      <c r="N34" s="85"/>
      <c r="O34" s="85">
        <f>IF(M5=M34,33,0)</f>
        <v>0</v>
      </c>
    </row>
    <row r="35" spans="6:15">
      <c r="F35" s="86"/>
      <c r="G35" s="86"/>
      <c r="H35" s="86"/>
      <c r="I35" s="86"/>
      <c r="M35" s="85">
        <v>1034</v>
      </c>
      <c r="N35" s="85"/>
      <c r="O35" s="85">
        <f>IF(M5=M35,34,0)</f>
        <v>0</v>
      </c>
    </row>
    <row r="36" spans="6:15">
      <c r="F36" s="86"/>
      <c r="G36" s="86"/>
      <c r="H36" s="86"/>
      <c r="I36" s="86"/>
      <c r="M36" s="85">
        <v>1064</v>
      </c>
      <c r="N36" s="85"/>
      <c r="O36" s="85">
        <f>IF(M5=M36,35,0)</f>
        <v>0</v>
      </c>
    </row>
    <row r="37" spans="6:15">
      <c r="F37" s="86"/>
      <c r="G37" s="86"/>
      <c r="H37" s="86"/>
      <c r="I37" s="86"/>
      <c r="M37" s="85">
        <v>1095</v>
      </c>
      <c r="N37" s="85"/>
      <c r="O37" s="85">
        <f>IF(M5=M37,36,0)</f>
        <v>0</v>
      </c>
    </row>
    <row r="38" spans="6:15">
      <c r="F38" s="86"/>
      <c r="G38" s="86"/>
      <c r="H38" s="86"/>
      <c r="I38" s="86"/>
      <c r="M38" s="87">
        <f t="shared" ref="M38:M67" si="0">M8-1</f>
        <v>209</v>
      </c>
      <c r="N38" s="87"/>
      <c r="O38" s="85">
        <f>IF(M5=M38,7,0)</f>
        <v>0</v>
      </c>
    </row>
    <row r="39" spans="6:15">
      <c r="F39" s="86"/>
      <c r="G39" s="86"/>
      <c r="H39" s="86"/>
      <c r="I39" s="86"/>
      <c r="M39" s="87">
        <f t="shared" si="0"/>
        <v>241</v>
      </c>
      <c r="N39" s="87"/>
      <c r="O39" s="85">
        <f>IF(M5=M39,8,0)</f>
        <v>0</v>
      </c>
    </row>
    <row r="40" spans="6:15">
      <c r="F40" s="86"/>
      <c r="G40" s="86"/>
      <c r="H40" s="86"/>
      <c r="I40" s="86"/>
      <c r="M40" s="87">
        <f t="shared" si="0"/>
        <v>271</v>
      </c>
      <c r="N40" s="87"/>
      <c r="O40" s="85">
        <f>IF(M5=M40,9,0)</f>
        <v>0</v>
      </c>
    </row>
    <row r="41" spans="6:15">
      <c r="F41" s="86"/>
      <c r="G41" s="86"/>
      <c r="H41" s="86"/>
      <c r="I41" s="86"/>
      <c r="M41" s="87">
        <f t="shared" si="0"/>
        <v>302</v>
      </c>
      <c r="N41" s="87"/>
      <c r="O41" s="85">
        <f>IF(M5=M41,10,0)</f>
        <v>0</v>
      </c>
    </row>
    <row r="42" spans="6:15">
      <c r="F42" s="86"/>
      <c r="G42" s="86"/>
      <c r="H42" s="86"/>
      <c r="I42" s="86"/>
      <c r="M42" s="87">
        <f t="shared" si="0"/>
        <v>332</v>
      </c>
      <c r="N42" s="87"/>
      <c r="O42" s="85">
        <f>IF(M5=M42,11,0)</f>
        <v>0</v>
      </c>
    </row>
    <row r="43" spans="6:15">
      <c r="F43" s="86"/>
      <c r="G43" s="86"/>
      <c r="H43" s="86"/>
      <c r="I43" s="86"/>
      <c r="M43" s="87">
        <f t="shared" si="0"/>
        <v>363</v>
      </c>
      <c r="N43" s="87"/>
      <c r="O43" s="85">
        <f>IF(M5=M43,12,0)</f>
        <v>0</v>
      </c>
    </row>
    <row r="44" spans="6:15">
      <c r="F44" s="86"/>
      <c r="G44" s="86"/>
      <c r="H44" s="86"/>
      <c r="I44" s="86"/>
      <c r="M44" s="87">
        <f t="shared" si="0"/>
        <v>394</v>
      </c>
      <c r="N44" s="87"/>
      <c r="O44" s="85">
        <f>IF(M5=M44,13,0)</f>
        <v>0</v>
      </c>
    </row>
    <row r="45" spans="6:15">
      <c r="F45" s="86"/>
      <c r="G45" s="86"/>
      <c r="H45" s="86"/>
      <c r="I45" s="86"/>
      <c r="M45" s="87">
        <f t="shared" si="0"/>
        <v>423</v>
      </c>
      <c r="N45" s="87"/>
      <c r="O45" s="85">
        <f>IF(M5=M45,14,0)</f>
        <v>0</v>
      </c>
    </row>
    <row r="46" spans="6:15">
      <c r="F46" s="86"/>
      <c r="G46" s="86"/>
      <c r="H46" s="86"/>
      <c r="I46" s="86"/>
      <c r="M46" s="87">
        <f t="shared" si="0"/>
        <v>454</v>
      </c>
      <c r="N46" s="87"/>
      <c r="O46" s="85">
        <f>IF(M5=M46,15,0)</f>
        <v>0</v>
      </c>
    </row>
    <row r="47" spans="6:15">
      <c r="F47" s="86"/>
      <c r="G47" s="86"/>
      <c r="H47" s="86"/>
      <c r="I47" s="86"/>
      <c r="M47" s="87">
        <f t="shared" si="0"/>
        <v>484</v>
      </c>
      <c r="N47" s="87"/>
      <c r="O47" s="85">
        <f>IF(M5=M47,16,0)</f>
        <v>0</v>
      </c>
    </row>
    <row r="48" spans="6:15">
      <c r="F48" s="86"/>
      <c r="G48" s="86"/>
      <c r="H48" s="86"/>
      <c r="I48" s="86"/>
      <c r="M48" s="87">
        <f t="shared" si="0"/>
        <v>515</v>
      </c>
      <c r="N48" s="87"/>
      <c r="O48" s="85">
        <f>IF(M5=M48,17,0)</f>
        <v>0</v>
      </c>
    </row>
    <row r="49" spans="6:15">
      <c r="F49" s="86"/>
      <c r="G49" s="86"/>
      <c r="H49" s="86"/>
      <c r="I49" s="86"/>
      <c r="M49" s="87">
        <f t="shared" si="0"/>
        <v>545</v>
      </c>
      <c r="N49" s="87"/>
      <c r="O49" s="85">
        <f>IF(M5=M49,18,0)</f>
        <v>0</v>
      </c>
    </row>
    <row r="50" spans="6:15">
      <c r="F50" s="86"/>
      <c r="G50" s="86"/>
      <c r="H50" s="86"/>
      <c r="I50" s="86"/>
      <c r="M50" s="87">
        <f t="shared" si="0"/>
        <v>576</v>
      </c>
      <c r="N50" s="87"/>
      <c r="O50" s="85">
        <f>IF(M5=M50,19,0)</f>
        <v>0</v>
      </c>
    </row>
    <row r="51" spans="6:15">
      <c r="F51" s="86"/>
      <c r="G51" s="86"/>
      <c r="H51" s="86"/>
      <c r="I51" s="86"/>
      <c r="M51" s="87">
        <f t="shared" si="0"/>
        <v>606</v>
      </c>
      <c r="N51" s="87"/>
      <c r="O51" s="85">
        <f>IF(M5=M51,20,0)</f>
        <v>0</v>
      </c>
    </row>
    <row r="52" spans="6:15">
      <c r="F52" s="86"/>
      <c r="G52" s="86"/>
      <c r="H52" s="86"/>
      <c r="I52" s="86"/>
      <c r="M52" s="87">
        <f t="shared" si="0"/>
        <v>637</v>
      </c>
      <c r="N52" s="87"/>
      <c r="O52" s="85">
        <f>IF(M5=M52,21,0)</f>
        <v>0</v>
      </c>
    </row>
    <row r="53" spans="6:15">
      <c r="F53" s="86"/>
      <c r="G53" s="86"/>
      <c r="H53" s="86"/>
      <c r="I53" s="86"/>
      <c r="M53" s="87">
        <f t="shared" si="0"/>
        <v>668</v>
      </c>
      <c r="N53" s="87"/>
      <c r="O53" s="85">
        <f>IF(M5=M53,22,0)</f>
        <v>0</v>
      </c>
    </row>
    <row r="54" spans="6:15">
      <c r="F54" s="86"/>
      <c r="G54" s="86"/>
      <c r="H54" s="86"/>
      <c r="I54" s="86"/>
      <c r="M54" s="87">
        <f t="shared" si="0"/>
        <v>698</v>
      </c>
      <c r="N54" s="87"/>
      <c r="O54" s="85">
        <f>IF(M5=M54,23,0)</f>
        <v>0</v>
      </c>
    </row>
    <row r="55" spans="6:15">
      <c r="F55" s="86"/>
      <c r="G55" s="86"/>
      <c r="H55" s="86"/>
      <c r="I55" s="86"/>
      <c r="M55" s="87">
        <f t="shared" si="0"/>
        <v>729</v>
      </c>
      <c r="N55" s="87"/>
      <c r="O55" s="85">
        <f>IF(M5=M55,24,0)</f>
        <v>0</v>
      </c>
    </row>
    <row r="56" spans="6:15">
      <c r="F56" s="86"/>
      <c r="G56" s="86"/>
      <c r="H56" s="86"/>
      <c r="I56" s="86"/>
      <c r="M56" s="87">
        <f t="shared" si="0"/>
        <v>759</v>
      </c>
      <c r="N56" s="87"/>
      <c r="O56" s="85">
        <f>IF(M5=M56,25,0)</f>
        <v>0</v>
      </c>
    </row>
    <row r="57" spans="6:15">
      <c r="F57" s="86"/>
      <c r="G57" s="86"/>
      <c r="H57" s="86"/>
      <c r="I57" s="86"/>
      <c r="M57" s="87">
        <f t="shared" si="0"/>
        <v>788</v>
      </c>
      <c r="N57" s="87"/>
      <c r="O57" s="85">
        <f>IF(M5=M57,26,0)</f>
        <v>0</v>
      </c>
    </row>
    <row r="58" spans="6:15">
      <c r="F58" s="86"/>
      <c r="G58" s="86"/>
      <c r="H58" s="86"/>
      <c r="I58" s="86"/>
      <c r="M58" s="87">
        <f t="shared" si="0"/>
        <v>819</v>
      </c>
      <c r="N58" s="87"/>
      <c r="O58" s="85">
        <f>IF(M5=M58,27,0)</f>
        <v>0</v>
      </c>
    </row>
    <row r="59" spans="6:15">
      <c r="F59" s="86"/>
      <c r="G59" s="86"/>
      <c r="H59" s="86"/>
      <c r="I59" s="86"/>
      <c r="M59" s="87">
        <f t="shared" si="0"/>
        <v>849</v>
      </c>
      <c r="N59" s="87"/>
      <c r="O59" s="85">
        <f>IF(M5=M59,28,0)</f>
        <v>0</v>
      </c>
    </row>
    <row r="60" spans="6:15">
      <c r="F60" s="86"/>
      <c r="G60" s="86"/>
      <c r="H60" s="86"/>
      <c r="I60" s="86"/>
      <c r="J60" s="86"/>
      <c r="M60" s="87">
        <f t="shared" si="0"/>
        <v>880</v>
      </c>
      <c r="N60" s="87"/>
      <c r="O60" s="85">
        <f>IF(M5=M60,29,0)</f>
        <v>0</v>
      </c>
    </row>
    <row r="61" spans="6:15">
      <c r="F61" s="86"/>
      <c r="G61" s="86"/>
      <c r="H61" s="86"/>
      <c r="I61" s="86"/>
      <c r="J61" s="86"/>
      <c r="M61" s="87">
        <f t="shared" si="0"/>
        <v>910</v>
      </c>
      <c r="N61" s="87"/>
      <c r="O61" s="85">
        <f>IF(M5=M61,30,0)</f>
        <v>0</v>
      </c>
    </row>
    <row r="62" spans="6:15">
      <c r="F62" s="86"/>
      <c r="G62" s="86"/>
      <c r="H62" s="86"/>
      <c r="I62" s="86"/>
      <c r="J62" s="86"/>
      <c r="M62" s="87">
        <f t="shared" si="0"/>
        <v>941</v>
      </c>
      <c r="N62" s="87"/>
      <c r="O62" s="85">
        <f>IF(M5=M62,31,0)</f>
        <v>0</v>
      </c>
    </row>
    <row r="63" spans="6:15">
      <c r="F63" s="86"/>
      <c r="G63" s="86"/>
      <c r="H63" s="86"/>
      <c r="I63" s="86"/>
      <c r="J63" s="86"/>
      <c r="M63" s="87">
        <f t="shared" si="0"/>
        <v>971</v>
      </c>
      <c r="N63" s="87"/>
      <c r="O63" s="85">
        <f>IF(M5=M63,32,0)</f>
        <v>0</v>
      </c>
    </row>
    <row r="64" spans="6:15">
      <c r="F64" s="86"/>
      <c r="G64" s="86"/>
      <c r="H64" s="86"/>
      <c r="I64" s="86"/>
      <c r="J64" s="86"/>
      <c r="M64" s="87">
        <f t="shared" si="0"/>
        <v>1002</v>
      </c>
      <c r="N64" s="87"/>
      <c r="O64" s="85">
        <f>IF(M5=M64,33,0)</f>
        <v>0</v>
      </c>
    </row>
    <row r="65" spans="6:15">
      <c r="F65" s="86"/>
      <c r="G65" s="86"/>
      <c r="H65" s="86"/>
      <c r="I65" s="86"/>
      <c r="J65" s="86"/>
      <c r="M65" s="87">
        <f t="shared" si="0"/>
        <v>1033</v>
      </c>
      <c r="N65" s="87"/>
      <c r="O65" s="85">
        <f>IF(M5=M65,34,0)</f>
        <v>0</v>
      </c>
    </row>
    <row r="66" spans="6:15">
      <c r="F66" s="86"/>
      <c r="G66" s="86"/>
      <c r="H66" s="86"/>
      <c r="I66" s="86"/>
      <c r="J66" s="86"/>
      <c r="M66" s="87">
        <f t="shared" si="0"/>
        <v>1063</v>
      </c>
      <c r="N66" s="87"/>
      <c r="O66" s="85">
        <f>IF(M5=M66,35,0)</f>
        <v>0</v>
      </c>
    </row>
    <row r="67" spans="6:15">
      <c r="F67" s="86"/>
      <c r="G67" s="86"/>
      <c r="H67" s="86"/>
      <c r="I67" s="86"/>
      <c r="J67" s="86"/>
      <c r="M67" s="87">
        <f t="shared" si="0"/>
        <v>1094</v>
      </c>
      <c r="N67" s="87"/>
      <c r="O67" s="85">
        <f>IF(M5=M67,36,0)</f>
        <v>0</v>
      </c>
    </row>
    <row r="68" spans="6:15">
      <c r="F68" s="86"/>
      <c r="G68" s="86"/>
      <c r="H68" s="86"/>
      <c r="I68" s="86"/>
      <c r="J68" s="86"/>
      <c r="M68" s="87"/>
      <c r="N68" s="87"/>
      <c r="O68" s="85">
        <f>SUM(O7:O67)</f>
        <v>0</v>
      </c>
    </row>
    <row r="69" spans="6:15">
      <c r="F69" s="86"/>
      <c r="G69" s="86"/>
      <c r="H69" s="86"/>
      <c r="I69" s="86"/>
      <c r="J69" s="86"/>
      <c r="M69" s="87"/>
      <c r="N69" s="87"/>
      <c r="O69" s="85"/>
    </row>
  </sheetData>
  <protectedRanges>
    <protectedRange sqref="A3:B3 F3 A17:B17 A21:B21" name="Plage1"/>
  </protectedRanges>
  <conditionalFormatting sqref="C3">
    <cfRule type="cellIs" dxfId="7" priority="5" operator="lessThan">
      <formula>180</formula>
    </cfRule>
    <cfRule type="cellIs" dxfId="6" priority="6" operator="lessThan">
      <formula>180</formula>
    </cfRule>
    <cfRule type="cellIs" dxfId="5" priority="8" operator="lessThan">
      <formula>180</formula>
    </cfRule>
  </conditionalFormatting>
  <conditionalFormatting sqref="D3">
    <cfRule type="cellIs" dxfId="4" priority="1" operator="greaterThan">
      <formula>36</formula>
    </cfRule>
    <cfRule type="cellIs" dxfId="3" priority="2" operator="greaterThan">
      <formula>36</formula>
    </cfRule>
    <cfRule type="cellIs" dxfId="2" priority="3" operator="greaterThan">
      <formula>36</formula>
    </cfRule>
  </conditionalFormatting>
  <conditionalFormatting sqref="F3">
    <cfRule type="cellIs" dxfId="1" priority="4" operator="lessThan">
      <formula>24</formula>
    </cfRule>
    <cfRule type="cellIs" dxfId="0" priority="7" operator="lessThan">
      <formula>24</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C61"/>
  <sheetViews>
    <sheetView topLeftCell="A48" workbookViewId="0">
      <selection activeCell="G26" sqref="G26"/>
    </sheetView>
  </sheetViews>
  <sheetFormatPr baseColWidth="10" defaultRowHeight="14.5"/>
  <cols>
    <col min="1" max="1" width="40.26953125" customWidth="1"/>
    <col min="2" max="2" width="30.54296875" customWidth="1"/>
    <col min="3" max="3" width="38.26953125" customWidth="1"/>
  </cols>
  <sheetData>
    <row r="1" spans="1:3" ht="15.5" thickBot="1">
      <c r="A1" s="22" t="s">
        <v>76</v>
      </c>
      <c r="B1" s="22" t="s">
        <v>77</v>
      </c>
      <c r="C1" s="22" t="s">
        <v>78</v>
      </c>
    </row>
    <row r="2" spans="1:3" ht="15.5">
      <c r="A2" s="23" t="s">
        <v>79</v>
      </c>
      <c r="B2" s="26"/>
      <c r="C2" s="436" t="s">
        <v>85</v>
      </c>
    </row>
    <row r="3" spans="1:3" ht="15.5">
      <c r="A3" s="24" t="s">
        <v>80</v>
      </c>
      <c r="B3" s="27"/>
      <c r="C3" s="438"/>
    </row>
    <row r="4" spans="1:3" ht="15.5">
      <c r="A4" s="24" t="s">
        <v>81</v>
      </c>
      <c r="B4" s="27" t="s">
        <v>83</v>
      </c>
      <c r="C4" s="438"/>
    </row>
    <row r="5" spans="1:3" ht="16" thickBot="1">
      <c r="A5" s="25" t="s">
        <v>82</v>
      </c>
      <c r="B5" s="28" t="s">
        <v>84</v>
      </c>
      <c r="C5" s="437"/>
    </row>
    <row r="6" spans="1:3" ht="15.5">
      <c r="A6" s="23" t="s">
        <v>86</v>
      </c>
      <c r="B6" s="23" t="s">
        <v>88</v>
      </c>
      <c r="C6" s="436" t="s">
        <v>90</v>
      </c>
    </row>
    <row r="7" spans="1:3" ht="16" thickBot="1">
      <c r="A7" s="25" t="s">
        <v>87</v>
      </c>
      <c r="B7" s="28" t="s">
        <v>89</v>
      </c>
      <c r="C7" s="437"/>
    </row>
    <row r="8" spans="1:3" ht="31">
      <c r="A8" s="23" t="s">
        <v>91</v>
      </c>
      <c r="B8" s="23" t="s">
        <v>93</v>
      </c>
      <c r="C8" s="436" t="s">
        <v>95</v>
      </c>
    </row>
    <row r="9" spans="1:3" ht="16" thickBot="1">
      <c r="A9" s="25" t="s">
        <v>92</v>
      </c>
      <c r="B9" s="28" t="s">
        <v>94</v>
      </c>
      <c r="C9" s="437"/>
    </row>
    <row r="10" spans="1:3" ht="15.5">
      <c r="A10" s="436" t="s">
        <v>96</v>
      </c>
      <c r="B10" s="23" t="s">
        <v>97</v>
      </c>
      <c r="C10" s="439" t="s">
        <v>99</v>
      </c>
    </row>
    <row r="11" spans="1:3" ht="15.5" thickBot="1">
      <c r="A11" s="437"/>
      <c r="B11" s="28" t="s">
        <v>98</v>
      </c>
      <c r="C11" s="440"/>
    </row>
    <row r="12" spans="1:3" ht="31">
      <c r="A12" s="436" t="s">
        <v>100</v>
      </c>
      <c r="B12" s="23" t="s">
        <v>93</v>
      </c>
      <c r="C12" s="29" t="s">
        <v>102</v>
      </c>
    </row>
    <row r="13" spans="1:3" ht="15.5">
      <c r="A13" s="438"/>
      <c r="B13" s="30" t="s">
        <v>101</v>
      </c>
      <c r="C13" s="24" t="s">
        <v>103</v>
      </c>
    </row>
    <row r="14" spans="1:3" ht="15.5">
      <c r="A14" s="438"/>
      <c r="B14" s="31"/>
      <c r="C14" s="33" t="s">
        <v>104</v>
      </c>
    </row>
    <row r="15" spans="1:3" ht="15.5">
      <c r="A15" s="438"/>
      <c r="B15" s="31"/>
      <c r="C15" s="24" t="s">
        <v>105</v>
      </c>
    </row>
    <row r="16" spans="1:3" ht="15.5">
      <c r="A16" s="438"/>
      <c r="B16" s="31"/>
      <c r="C16" s="33" t="s">
        <v>106</v>
      </c>
    </row>
    <row r="17" spans="1:3" ht="16" thickBot="1">
      <c r="A17" s="437"/>
      <c r="B17" s="32"/>
      <c r="C17" s="25" t="s">
        <v>107</v>
      </c>
    </row>
    <row r="18" spans="1:3" ht="15.5">
      <c r="A18" s="436" t="s">
        <v>108</v>
      </c>
      <c r="B18" s="23" t="s">
        <v>109</v>
      </c>
      <c r="C18" s="436" t="s">
        <v>111</v>
      </c>
    </row>
    <row r="19" spans="1:3" ht="15.5" thickBot="1">
      <c r="A19" s="437"/>
      <c r="B19" s="28" t="s">
        <v>110</v>
      </c>
      <c r="C19" s="437"/>
    </row>
    <row r="20" spans="1:3" ht="15.5">
      <c r="A20" s="436" t="s">
        <v>112</v>
      </c>
      <c r="B20" s="23" t="s">
        <v>113</v>
      </c>
      <c r="C20" s="436" t="s">
        <v>115</v>
      </c>
    </row>
    <row r="21" spans="1:3" ht="15.5" thickBot="1">
      <c r="A21" s="437"/>
      <c r="B21" s="28" t="s">
        <v>114</v>
      </c>
      <c r="C21" s="437"/>
    </row>
    <row r="22" spans="1:3" ht="15.5">
      <c r="A22" s="436" t="s">
        <v>116</v>
      </c>
      <c r="B22" s="23" t="s">
        <v>117</v>
      </c>
      <c r="C22" s="436" t="s">
        <v>119</v>
      </c>
    </row>
    <row r="23" spans="1:3" ht="15.5" thickBot="1">
      <c r="A23" s="437"/>
      <c r="B23" s="28" t="s">
        <v>118</v>
      </c>
      <c r="C23" s="437"/>
    </row>
    <row r="24" spans="1:3" ht="15.5">
      <c r="A24" s="436" t="s">
        <v>120</v>
      </c>
      <c r="B24" s="23" t="s">
        <v>121</v>
      </c>
      <c r="C24" s="436" t="s">
        <v>123</v>
      </c>
    </row>
    <row r="25" spans="1:3" ht="15.5" thickBot="1">
      <c r="A25" s="437"/>
      <c r="B25" s="28" t="s">
        <v>122</v>
      </c>
      <c r="C25" s="437"/>
    </row>
    <row r="26" spans="1:3" ht="15.5">
      <c r="A26" s="23" t="s">
        <v>124</v>
      </c>
      <c r="B26" s="23" t="s">
        <v>126</v>
      </c>
      <c r="C26" s="23" t="s">
        <v>128</v>
      </c>
    </row>
    <row r="27" spans="1:3" ht="15.5">
      <c r="A27" s="24" t="s">
        <v>125</v>
      </c>
      <c r="B27" s="30" t="s">
        <v>127</v>
      </c>
      <c r="C27" s="24"/>
    </row>
    <row r="28" spans="1:3" ht="16" thickBot="1">
      <c r="A28" s="32"/>
      <c r="B28" s="32"/>
      <c r="C28" s="25" t="s">
        <v>129</v>
      </c>
    </row>
    <row r="29" spans="1:3" ht="15.5">
      <c r="A29" s="436" t="s">
        <v>125</v>
      </c>
      <c r="B29" s="23" t="s">
        <v>130</v>
      </c>
      <c r="C29" s="436" t="s">
        <v>129</v>
      </c>
    </row>
    <row r="30" spans="1:3" ht="15.5" thickBot="1">
      <c r="A30" s="437"/>
      <c r="B30" s="28" t="s">
        <v>131</v>
      </c>
      <c r="C30" s="437"/>
    </row>
    <row r="31" spans="1:3" ht="46.5">
      <c r="A31" s="436" t="s">
        <v>132</v>
      </c>
      <c r="B31" s="23" t="s">
        <v>133</v>
      </c>
      <c r="C31" s="23" t="s">
        <v>135</v>
      </c>
    </row>
    <row r="32" spans="1:3" ht="15.5">
      <c r="A32" s="438"/>
      <c r="B32" s="30" t="s">
        <v>134</v>
      </c>
      <c r="C32" s="24" t="s">
        <v>136</v>
      </c>
    </row>
    <row r="33" spans="1:3" ht="16" thickBot="1">
      <c r="A33" s="437"/>
      <c r="B33" s="32"/>
      <c r="C33" s="25" t="s">
        <v>137</v>
      </c>
    </row>
    <row r="35" spans="1:3" ht="26">
      <c r="A35" s="34" t="s">
        <v>138</v>
      </c>
    </row>
    <row r="36" spans="1:3">
      <c r="A36" s="35"/>
    </row>
    <row r="37" spans="1:3" ht="75.5">
      <c r="A37" s="35" t="s">
        <v>139</v>
      </c>
    </row>
    <row r="38" spans="1:3">
      <c r="A38" s="35"/>
    </row>
    <row r="39" spans="1:3">
      <c r="A39" s="36" t="s">
        <v>140</v>
      </c>
    </row>
    <row r="40" spans="1:3" ht="25.5" thickBot="1">
      <c r="A40" s="35" t="s">
        <v>141</v>
      </c>
    </row>
    <row r="41" spans="1:3" ht="15" thickBot="1">
      <c r="A41" s="37" t="s">
        <v>142</v>
      </c>
      <c r="B41" s="38" t="s">
        <v>143</v>
      </c>
      <c r="C41" s="38" t="s">
        <v>144</v>
      </c>
    </row>
    <row r="42" spans="1:3" ht="25.5" thickBot="1">
      <c r="A42" s="39" t="s">
        <v>145</v>
      </c>
      <c r="B42" s="40" t="s">
        <v>145</v>
      </c>
      <c r="C42" s="40" t="s">
        <v>146</v>
      </c>
    </row>
    <row r="43" spans="1:3" ht="15" thickBot="1">
      <c r="A43" s="39" t="s">
        <v>147</v>
      </c>
      <c r="B43" s="40" t="s">
        <v>145</v>
      </c>
      <c r="C43" s="40" t="s">
        <v>148</v>
      </c>
    </row>
    <row r="44" spans="1:3" ht="38" thickBot="1">
      <c r="A44" s="39" t="s">
        <v>145</v>
      </c>
      <c r="B44" s="40" t="s">
        <v>147</v>
      </c>
      <c r="C44" s="40" t="s">
        <v>149</v>
      </c>
    </row>
    <row r="45" spans="1:3" ht="38" thickBot="1">
      <c r="A45" s="39" t="s">
        <v>147</v>
      </c>
      <c r="B45" s="40" t="s">
        <v>150</v>
      </c>
      <c r="C45" s="40" t="s">
        <v>149</v>
      </c>
    </row>
    <row r="46" spans="1:3">
      <c r="A46" s="35"/>
    </row>
    <row r="47" spans="1:3">
      <c r="A47" s="36" t="s">
        <v>151</v>
      </c>
    </row>
    <row r="48" spans="1:3" ht="25">
      <c r="A48" s="35" t="s">
        <v>152</v>
      </c>
    </row>
    <row r="49" spans="1:3">
      <c r="A49" s="35"/>
    </row>
    <row r="50" spans="1:3" ht="15" thickBot="1">
      <c r="A50" s="35" t="s">
        <v>153</v>
      </c>
    </row>
    <row r="51" spans="1:3" ht="15" thickBot="1">
      <c r="A51" s="37" t="s">
        <v>142</v>
      </c>
      <c r="B51" s="38" t="s">
        <v>143</v>
      </c>
    </row>
    <row r="52" spans="1:3" ht="15" thickBot="1">
      <c r="A52" s="39" t="s">
        <v>108</v>
      </c>
      <c r="B52" s="40" t="s">
        <v>154</v>
      </c>
    </row>
    <row r="53" spans="1:3" ht="15" thickBot="1">
      <c r="A53" s="39" t="s">
        <v>155</v>
      </c>
      <c r="B53" s="40" t="s">
        <v>156</v>
      </c>
    </row>
    <row r="54" spans="1:3" ht="15" thickBot="1">
      <c r="A54" s="41" t="s">
        <v>157</v>
      </c>
    </row>
    <row r="55" spans="1:3" ht="15" thickBot="1">
      <c r="A55" s="37" t="s">
        <v>142</v>
      </c>
      <c r="B55" s="38" t="s">
        <v>143</v>
      </c>
      <c r="C55" s="38" t="s">
        <v>144</v>
      </c>
    </row>
    <row r="56" spans="1:3" ht="25.5" thickBot="1">
      <c r="A56" s="39" t="s">
        <v>145</v>
      </c>
      <c r="B56" s="40" t="s">
        <v>145</v>
      </c>
      <c r="C56" s="40" t="s">
        <v>158</v>
      </c>
    </row>
    <row r="57" spans="1:3" ht="15" thickBot="1">
      <c r="A57" s="39" t="s">
        <v>147</v>
      </c>
      <c r="B57" s="40" t="s">
        <v>145</v>
      </c>
      <c r="C57" s="40" t="s">
        <v>159</v>
      </c>
    </row>
    <row r="58" spans="1:3" ht="25.5" thickBot="1">
      <c r="A58" s="39" t="s">
        <v>145</v>
      </c>
      <c r="B58" s="40" t="s">
        <v>147</v>
      </c>
      <c r="C58" s="40" t="s">
        <v>160</v>
      </c>
    </row>
    <row r="59" spans="1:3" ht="25.5" thickBot="1">
      <c r="A59" s="39" t="s">
        <v>147</v>
      </c>
      <c r="B59" s="40" t="s">
        <v>150</v>
      </c>
      <c r="C59" s="40" t="s">
        <v>161</v>
      </c>
    </row>
    <row r="60" spans="1:3">
      <c r="A60" s="35"/>
    </row>
    <row r="61" spans="1:3" ht="78">
      <c r="A61" s="42" t="s">
        <v>162</v>
      </c>
    </row>
  </sheetData>
  <mergeCells count="17">
    <mergeCell ref="A12:A17"/>
    <mergeCell ref="C2:C5"/>
    <mergeCell ref="C6:C7"/>
    <mergeCell ref="C8:C9"/>
    <mergeCell ref="A10:A11"/>
    <mergeCell ref="C10:C11"/>
    <mergeCell ref="A18:A19"/>
    <mergeCell ref="C18:C19"/>
    <mergeCell ref="A20:A21"/>
    <mergeCell ref="C20:C21"/>
    <mergeCell ref="A22:A23"/>
    <mergeCell ref="C22:C23"/>
    <mergeCell ref="A24:A25"/>
    <mergeCell ref="C24:C25"/>
    <mergeCell ref="A29:A30"/>
    <mergeCell ref="C29:C30"/>
    <mergeCell ref="A31:A3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H28"/>
  <sheetViews>
    <sheetView workbookViewId="0">
      <selection activeCell="F6" sqref="F6"/>
    </sheetView>
  </sheetViews>
  <sheetFormatPr baseColWidth="10" defaultRowHeight="14.5"/>
  <cols>
    <col min="1" max="2" width="35.54296875" customWidth="1"/>
    <col min="3" max="3" width="26.7265625" customWidth="1"/>
    <col min="4" max="4" width="20.26953125" customWidth="1"/>
    <col min="5" max="5" width="19.54296875" customWidth="1"/>
    <col min="6" max="6" width="15.1796875" customWidth="1"/>
  </cols>
  <sheetData>
    <row r="1" spans="1:8" ht="15.5" thickTop="1" thickBot="1">
      <c r="A1" s="441" t="s">
        <v>49</v>
      </c>
      <c r="B1" s="442"/>
      <c r="F1" s="20" t="s">
        <v>65</v>
      </c>
      <c r="G1" s="21">
        <f>'Simulateur Contrat de pro'!B14</f>
        <v>0</v>
      </c>
    </row>
    <row r="2" spans="1:8" ht="15.5" thickTop="1" thickBot="1">
      <c r="A2" s="12" t="s">
        <v>50</v>
      </c>
      <c r="B2" s="11" t="s">
        <v>69</v>
      </c>
      <c r="F2" s="20" t="s">
        <v>66</v>
      </c>
      <c r="G2" s="20">
        <f>'Simulateur Contrat de pro'!B13</f>
        <v>0</v>
      </c>
    </row>
    <row r="3" spans="1:8" ht="15" thickBot="1">
      <c r="A3" s="13" t="s">
        <v>75</v>
      </c>
      <c r="B3" s="10">
        <f>'Simulateur Contrat de pro'!I7</f>
        <v>1801.7999999999988</v>
      </c>
      <c r="C3" s="14" t="s">
        <v>70</v>
      </c>
      <c r="D3" s="7">
        <f>B3*(F6/100)</f>
        <v>0</v>
      </c>
      <c r="F3" s="20" t="s">
        <v>67</v>
      </c>
      <c r="G3" s="20">
        <f>'Simulateur Contrat de pro'!B15</f>
        <v>0</v>
      </c>
    </row>
    <row r="4" spans="1:8" ht="15" thickBot="1">
      <c r="A4" s="13" t="s">
        <v>74</v>
      </c>
      <c r="B4" s="10"/>
      <c r="C4" s="14" t="s">
        <v>70</v>
      </c>
      <c r="D4" s="7"/>
    </row>
    <row r="5" spans="1:8" ht="15" thickBot="1">
      <c r="A5" s="9"/>
      <c r="C5" s="17" t="s">
        <v>63</v>
      </c>
      <c r="D5" s="17" t="s">
        <v>64</v>
      </c>
      <c r="E5" s="18"/>
      <c r="F5" s="8"/>
    </row>
    <row r="6" spans="1:8" ht="15" thickBot="1">
      <c r="A6" s="443" t="s">
        <v>52</v>
      </c>
      <c r="B6" s="444"/>
      <c r="C6" s="15">
        <f>IF(G1&lt;=25,70,IF(G1&gt;25,85))</f>
        <v>70</v>
      </c>
      <c r="D6" s="15">
        <f>IF(G1&lt;=25,80,IF(G1&gt;25,85))</f>
        <v>80</v>
      </c>
      <c r="E6" s="19" t="s">
        <v>68</v>
      </c>
      <c r="F6" s="16" t="b">
        <f>IF(G2='-'!A26,Feuil1!D6,IF(G2='-'!A27,Feuil1!C6))</f>
        <v>0</v>
      </c>
    </row>
    <row r="8" spans="1:8">
      <c r="A8" t="s">
        <v>51</v>
      </c>
    </row>
    <row r="9" spans="1:8">
      <c r="A9" s="13" t="s">
        <v>75</v>
      </c>
      <c r="B9">
        <f>'Simulateur Contrat de pro'!I7</f>
        <v>1801.7999999999988</v>
      </c>
      <c r="C9" s="13" t="s">
        <v>163</v>
      </c>
      <c r="D9" s="44">
        <f>B3*(G12/100)</f>
        <v>0</v>
      </c>
    </row>
    <row r="10" spans="1:8">
      <c r="A10" s="13" t="s">
        <v>74</v>
      </c>
      <c r="C10" s="13" t="s">
        <v>163</v>
      </c>
      <c r="D10" s="44">
        <f>B4*(G12/100)</f>
        <v>0</v>
      </c>
    </row>
    <row r="11" spans="1:8" ht="15" thickBot="1">
      <c r="C11" t="s">
        <v>71</v>
      </c>
      <c r="D11" t="s">
        <v>72</v>
      </c>
      <c r="E11" t="s">
        <v>73</v>
      </c>
    </row>
    <row r="12" spans="1:8" ht="15" thickBot="1">
      <c r="A12" t="s">
        <v>52</v>
      </c>
      <c r="C12">
        <f>IF(G1&lt;=17,25,IF(G1&lt;=20,41,IF(G1&gt;20,53)))</f>
        <v>25</v>
      </c>
      <c r="D12">
        <f>IF(G1&lt;=17,37,IF(G1&lt;=20,49,IF(G1&gt;20,61)))</f>
        <v>37</v>
      </c>
      <c r="E12">
        <f>IF(G1&lt;=17,53,IF(G1&lt;=20,65,IF(G1&gt;20,78)))</f>
        <v>53</v>
      </c>
      <c r="F12" s="43" t="s">
        <v>68</v>
      </c>
      <c r="G12" s="7" t="b">
        <f>IF(G3="1 ère",C12,IF(G3="2 ième",D12,IF(G3="3 ième",E12)))</f>
        <v>0</v>
      </c>
    </row>
    <row r="14" spans="1:8">
      <c r="C14" t="s">
        <v>58</v>
      </c>
      <c r="D14" t="s">
        <v>59</v>
      </c>
      <c r="E14" t="s">
        <v>57</v>
      </c>
      <c r="F14" t="s">
        <v>60</v>
      </c>
      <c r="G14" t="s">
        <v>61</v>
      </c>
      <c r="H14" t="s">
        <v>62</v>
      </c>
    </row>
    <row r="15" spans="1:8">
      <c r="A15" s="4" t="s">
        <v>53</v>
      </c>
      <c r="B15" s="4"/>
      <c r="C15" s="4">
        <v>70</v>
      </c>
      <c r="D15">
        <v>80</v>
      </c>
      <c r="F15">
        <v>25</v>
      </c>
      <c r="G15">
        <v>37</v>
      </c>
      <c r="H15">
        <v>53</v>
      </c>
    </row>
    <row r="16" spans="1:8">
      <c r="A16" s="4" t="s">
        <v>54</v>
      </c>
      <c r="B16" s="4"/>
      <c r="C16" s="4">
        <v>70</v>
      </c>
      <c r="D16">
        <v>80</v>
      </c>
      <c r="F16">
        <v>41</v>
      </c>
      <c r="G16">
        <v>49</v>
      </c>
      <c r="H16">
        <v>65</v>
      </c>
    </row>
    <row r="17" spans="1:8">
      <c r="A17" s="4" t="s">
        <v>55</v>
      </c>
      <c r="B17" s="4"/>
      <c r="C17" s="4">
        <v>70</v>
      </c>
      <c r="D17">
        <v>80</v>
      </c>
      <c r="F17">
        <v>53</v>
      </c>
      <c r="G17">
        <v>61</v>
      </c>
      <c r="H17">
        <v>78</v>
      </c>
    </row>
    <row r="18" spans="1:8">
      <c r="A18" s="4" t="s">
        <v>31</v>
      </c>
      <c r="B18" s="4"/>
      <c r="C18" s="4">
        <v>70</v>
      </c>
      <c r="D18">
        <v>80</v>
      </c>
      <c r="F18">
        <v>53</v>
      </c>
      <c r="G18">
        <v>61</v>
      </c>
      <c r="H18">
        <v>78</v>
      </c>
    </row>
    <row r="19" spans="1:8">
      <c r="A19" s="4" t="s">
        <v>32</v>
      </c>
      <c r="B19" s="4"/>
      <c r="C19" s="4">
        <v>70</v>
      </c>
      <c r="D19">
        <v>80</v>
      </c>
      <c r="F19">
        <v>53</v>
      </c>
      <c r="G19">
        <v>61</v>
      </c>
      <c r="H19">
        <v>78</v>
      </c>
    </row>
    <row r="20" spans="1:8">
      <c r="A20" s="4" t="s">
        <v>33</v>
      </c>
      <c r="B20" s="4"/>
      <c r="C20" s="4">
        <v>85</v>
      </c>
      <c r="D20">
        <v>85</v>
      </c>
      <c r="F20">
        <v>53</v>
      </c>
      <c r="G20">
        <v>61</v>
      </c>
      <c r="H20">
        <v>78</v>
      </c>
    </row>
    <row r="23" spans="1:8">
      <c r="A23" t="s">
        <v>56</v>
      </c>
    </row>
    <row r="24" spans="1:8">
      <c r="A24" t="s">
        <v>39</v>
      </c>
    </row>
    <row r="25" spans="1:8">
      <c r="A25" t="s">
        <v>40</v>
      </c>
    </row>
    <row r="26" spans="1:8">
      <c r="A26" t="s">
        <v>41</v>
      </c>
    </row>
    <row r="27" spans="1:8">
      <c r="A27" t="s">
        <v>42</v>
      </c>
    </row>
    <row r="28" spans="1:8">
      <c r="A28" t="s">
        <v>43</v>
      </c>
    </row>
  </sheetData>
  <mergeCells count="2">
    <mergeCell ref="A1:B1"/>
    <mergeCell ref="A6:B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I55"/>
  <sheetViews>
    <sheetView topLeftCell="A28" workbookViewId="0">
      <selection activeCell="C42" sqref="C42:C44"/>
    </sheetView>
  </sheetViews>
  <sheetFormatPr baseColWidth="10" defaultRowHeight="14.5"/>
  <cols>
    <col min="1" max="1" width="79.26953125" customWidth="1"/>
    <col min="3" max="3" width="40.54296875" customWidth="1"/>
  </cols>
  <sheetData>
    <row r="1" spans="1:9">
      <c r="A1" t="s">
        <v>26</v>
      </c>
    </row>
    <row r="2" spans="1:9">
      <c r="A2" s="4">
        <v>15</v>
      </c>
      <c r="I2" t="s">
        <v>10</v>
      </c>
    </row>
    <row r="3" spans="1:9">
      <c r="A3" s="4">
        <v>16</v>
      </c>
      <c r="C3" s="2"/>
      <c r="E3" t="s">
        <v>4</v>
      </c>
      <c r="I3" s="3">
        <v>12</v>
      </c>
    </row>
    <row r="4" spans="1:9">
      <c r="A4" s="4">
        <v>17</v>
      </c>
      <c r="C4" s="2"/>
      <c r="E4" t="s">
        <v>240</v>
      </c>
      <c r="I4" s="1">
        <v>60</v>
      </c>
    </row>
    <row r="5" spans="1:9">
      <c r="A5" s="4">
        <v>18</v>
      </c>
      <c r="C5" s="2"/>
      <c r="E5" t="s">
        <v>241</v>
      </c>
      <c r="I5" s="3">
        <v>10</v>
      </c>
    </row>
    <row r="6" spans="1:9">
      <c r="A6" s="4">
        <v>19</v>
      </c>
    </row>
    <row r="7" spans="1:9">
      <c r="A7" s="4">
        <v>20</v>
      </c>
    </row>
    <row r="8" spans="1:9">
      <c r="A8" s="4">
        <v>21</v>
      </c>
    </row>
    <row r="9" spans="1:9">
      <c r="A9" s="4">
        <v>22</v>
      </c>
    </row>
    <row r="10" spans="1:9">
      <c r="A10" s="4">
        <v>23</v>
      </c>
    </row>
    <row r="11" spans="1:9">
      <c r="A11" s="4">
        <v>24</v>
      </c>
    </row>
    <row r="12" spans="1:9">
      <c r="A12" s="4">
        <v>25</v>
      </c>
      <c r="C12" s="2"/>
    </row>
    <row r="13" spans="1:9">
      <c r="A13" s="45" t="s">
        <v>258</v>
      </c>
      <c r="C13" s="2"/>
    </row>
    <row r="14" spans="1:9">
      <c r="A14" s="45"/>
      <c r="C14" s="2"/>
    </row>
    <row r="15" spans="1:9">
      <c r="A15" s="4"/>
    </row>
    <row r="16" spans="1:9">
      <c r="A16" s="4"/>
    </row>
    <row r="17" spans="1:3">
      <c r="A17" s="4"/>
      <c r="C17" t="s">
        <v>12</v>
      </c>
    </row>
    <row r="18" spans="1:3">
      <c r="A18" s="45"/>
    </row>
    <row r="20" spans="1:3">
      <c r="C20" t="s">
        <v>30</v>
      </c>
    </row>
    <row r="25" spans="1:3">
      <c r="A25" t="s">
        <v>41</v>
      </c>
    </row>
    <row r="26" spans="1:3">
      <c r="A26" t="s">
        <v>42</v>
      </c>
    </row>
    <row r="27" spans="1:3">
      <c r="A27" t="s">
        <v>43</v>
      </c>
    </row>
    <row r="34" spans="1:3">
      <c r="A34" s="5"/>
      <c r="C34" t="s">
        <v>34</v>
      </c>
    </row>
    <row r="35" spans="1:3">
      <c r="A35" s="5"/>
      <c r="C35" t="s">
        <v>38</v>
      </c>
    </row>
    <row r="36" spans="1:3">
      <c r="A36" s="5"/>
      <c r="C36" t="s">
        <v>35</v>
      </c>
    </row>
    <row r="37" spans="1:3">
      <c r="A37" s="5"/>
      <c r="C37" t="s">
        <v>36</v>
      </c>
    </row>
    <row r="38" spans="1:3">
      <c r="A38" t="s">
        <v>23</v>
      </c>
    </row>
    <row r="39" spans="1:3">
      <c r="A39" t="s">
        <v>39</v>
      </c>
    </row>
    <row r="40" spans="1:3">
      <c r="A40" t="s">
        <v>40</v>
      </c>
    </row>
    <row r="42" spans="1:3">
      <c r="A42" t="s">
        <v>24</v>
      </c>
      <c r="C42" t="s">
        <v>267</v>
      </c>
    </row>
    <row r="43" spans="1:3">
      <c r="A43" t="s">
        <v>8</v>
      </c>
      <c r="C43" t="s">
        <v>265</v>
      </c>
    </row>
    <row r="44" spans="1:3">
      <c r="A44" t="s">
        <v>9</v>
      </c>
      <c r="C44" t="s">
        <v>266</v>
      </c>
    </row>
    <row r="47" spans="1:3">
      <c r="A47" s="6"/>
    </row>
    <row r="48" spans="1:3">
      <c r="A48" s="6"/>
    </row>
    <row r="49" spans="1:1">
      <c r="A49" s="6"/>
    </row>
    <row r="50" spans="1:1">
      <c r="A50" s="6"/>
    </row>
    <row r="51" spans="1:1">
      <c r="A51" s="6"/>
    </row>
    <row r="52" spans="1:1">
      <c r="A52" s="6"/>
    </row>
    <row r="53" spans="1:1">
      <c r="A53" s="6"/>
    </row>
    <row r="54" spans="1:1">
      <c r="A54" s="6"/>
    </row>
    <row r="55" spans="1:1">
      <c r="A55" s="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36F153E702044BAB1253E05A37881A" ma:contentTypeVersion="12" ma:contentTypeDescription="Crée un document." ma:contentTypeScope="" ma:versionID="425112392d919e18c30597044813d7e8">
  <xsd:schema xmlns:xsd="http://www.w3.org/2001/XMLSchema" xmlns:xs="http://www.w3.org/2001/XMLSchema" xmlns:p="http://schemas.microsoft.com/office/2006/metadata/properties" xmlns:ns2="0bc7cc1f-d03b-47f4-b4d7-7fed276a0de2" xmlns:ns3="f219ed52-ba2e-42b7-8808-6d0e8658d489" targetNamespace="http://schemas.microsoft.com/office/2006/metadata/properties" ma:root="true" ma:fieldsID="0bf1d0aa159b5a46578c6be5f21430e6" ns2:_="" ns3:_="">
    <xsd:import namespace="0bc7cc1f-d03b-47f4-b4d7-7fed276a0de2"/>
    <xsd:import namespace="f219ed52-ba2e-42b7-8808-6d0e8658d48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c7cc1f-d03b-47f4-b4d7-7fed276a0d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19ed52-ba2e-42b7-8808-6d0e8658d489"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C61150-EAF5-4D9D-87DD-CCB4781DF0EE}">
  <ds:schemaRefs>
    <ds:schemaRef ds:uri="http://schemas.openxmlformats.org/package/2006/metadata/core-properties"/>
    <ds:schemaRef ds:uri="f219ed52-ba2e-42b7-8808-6d0e8658d489"/>
    <ds:schemaRef ds:uri="http://schemas.microsoft.com/office/2006/documentManagement/types"/>
    <ds:schemaRef ds:uri="http://www.w3.org/XML/1998/namespace"/>
    <ds:schemaRef ds:uri="http://purl.org/dc/dcmitype/"/>
    <ds:schemaRef ds:uri="http://schemas.microsoft.com/office/infopath/2007/PartnerControls"/>
    <ds:schemaRef ds:uri="http://purl.org/dc/elements/1.1/"/>
    <ds:schemaRef ds:uri="0bc7cc1f-d03b-47f4-b4d7-7fed276a0de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DEFC411-7512-48FD-BB19-334964C46A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c7cc1f-d03b-47f4-b4d7-7fed276a0de2"/>
    <ds:schemaRef ds:uri="f219ed52-ba2e-42b7-8808-6d0e8658d4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A7242A-DDA6-4E90-9CBA-B0FADEB021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Simulateur Contrat de pro</vt:lpstr>
      <vt:lpstr>Liste</vt:lpstr>
      <vt:lpstr>Calculateur de durée</vt:lpstr>
      <vt:lpstr>iNFOS</vt:lpstr>
      <vt:lpstr>Feuil1</vt:lpstr>
      <vt:lpstr>-</vt:lpstr>
      <vt:lpstr>'Simulateur Contrat de pro'!Zone_d_impression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Djamila BERBAR</cp:lastModifiedBy>
  <cp:lastPrinted>2017-06-13T13:15:41Z</cp:lastPrinted>
  <dcterms:created xsi:type="dcterms:W3CDTF">2017-03-31T13:58:41Z</dcterms:created>
  <dcterms:modified xsi:type="dcterms:W3CDTF">2025-05-26T07:44:32Z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0x0101006136F153E702044BAB1253E05A37881A</vt:lpwstr>
  </property>
</Properties>
</file>